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Goodwin\Sweep &amp; Budget Amendment\"/>
    </mc:Choice>
  </mc:AlternateContent>
  <bookViews>
    <workbookView xWindow="0" yWindow="240" windowWidth="20700" windowHeight="9150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Sheet1!$A$1:$AA$67</definedName>
  </definedNames>
  <calcPr calcId="152511"/>
</workbook>
</file>

<file path=xl/calcChain.xml><?xml version="1.0" encoding="utf-8"?>
<calcChain xmlns="http://schemas.openxmlformats.org/spreadsheetml/2006/main">
  <c r="Z24" i="1" l="1"/>
  <c r="Z5" i="1"/>
  <c r="Z18" i="1"/>
  <c r="Z61" i="1" l="1"/>
  <c r="Z44" i="1"/>
  <c r="Z42" i="1"/>
  <c r="Z58" i="1"/>
  <c r="Z38" i="1"/>
  <c r="Z49" i="1"/>
  <c r="Z48" i="1"/>
  <c r="Z47" i="1"/>
  <c r="Z46" i="1"/>
  <c r="Z45" i="1"/>
  <c r="Z43" i="1"/>
  <c r="Z40" i="1"/>
  <c r="Z39" i="1"/>
  <c r="Z37" i="1"/>
  <c r="Z36" i="1"/>
  <c r="Z34" i="1"/>
  <c r="Z32" i="1"/>
  <c r="Z31" i="1"/>
  <c r="Z30" i="1"/>
  <c r="Z29" i="1"/>
  <c r="Z28" i="1"/>
  <c r="Z27" i="1"/>
  <c r="Z26" i="1"/>
  <c r="Z25" i="1"/>
  <c r="Z23" i="1"/>
  <c r="Z22" i="1"/>
  <c r="Z21" i="1"/>
  <c r="Z20" i="1"/>
  <c r="Z19" i="1"/>
  <c r="Z16" i="1"/>
  <c r="Z6" i="1"/>
  <c r="Z67" i="1" l="1"/>
  <c r="Z10" i="1"/>
  <c r="Z9" i="1" s="1"/>
  <c r="Z7" i="1"/>
  <c r="Z50" i="1" l="1"/>
  <c r="Z52" i="1" s="1"/>
  <c r="Z11" i="1"/>
  <c r="Z8" i="1" s="1"/>
  <c r="Y5" i="1"/>
  <c r="Y16" i="1"/>
  <c r="Y67" i="1"/>
  <c r="Y29" i="1"/>
  <c r="Y25" i="1"/>
  <c r="Y24" i="1"/>
  <c r="Y18" i="1"/>
  <c r="Y10" i="1"/>
  <c r="Y9" i="1" s="1"/>
  <c r="Y7" i="1"/>
  <c r="Y50" i="1" l="1"/>
  <c r="Y52" i="1" s="1"/>
  <c r="Y11" i="1"/>
  <c r="Y8" i="1" s="1"/>
  <c r="X24" i="1"/>
  <c r="X5" i="1"/>
  <c r="X7" i="1" s="1"/>
  <c r="X63" i="1"/>
  <c r="X67" i="1" s="1"/>
  <c r="X29" i="1"/>
  <c r="X25" i="1"/>
  <c r="X18" i="1"/>
  <c r="X16" i="1"/>
  <c r="X50" i="1" s="1"/>
  <c r="X10" i="1"/>
  <c r="X9" i="1" s="1"/>
  <c r="X11" i="1" l="1"/>
  <c r="X8" i="1" s="1"/>
  <c r="X52" i="1"/>
  <c r="W63" i="1"/>
  <c r="W29" i="1" l="1"/>
  <c r="W25" i="1"/>
  <c r="W24" i="1"/>
  <c r="W18" i="1"/>
  <c r="W16" i="1"/>
  <c r="W5" i="1"/>
  <c r="W7" i="1" s="1"/>
  <c r="W67" i="1"/>
  <c r="W10" i="1"/>
  <c r="W9" i="1" s="1"/>
  <c r="W11" i="1" l="1"/>
  <c r="W8" i="1" s="1"/>
  <c r="W50" i="1"/>
  <c r="W52" i="1" s="1"/>
  <c r="G8" i="1"/>
  <c r="U10" i="1" l="1"/>
  <c r="V10" i="1"/>
  <c r="T10" i="1"/>
  <c r="V24" i="1" l="1"/>
  <c r="V16" i="1"/>
  <c r="V5" i="1"/>
  <c r="V7" i="1" s="1"/>
  <c r="V11" i="1" s="1"/>
  <c r="V29" i="1"/>
  <c r="V25" i="1"/>
  <c r="V18" i="1"/>
  <c r="V67" i="1"/>
  <c r="V9" i="1"/>
  <c r="U18" i="1"/>
  <c r="U5" i="1"/>
  <c r="V8" i="1" l="1"/>
  <c r="V50" i="1"/>
  <c r="V52" i="1" s="1"/>
  <c r="U29" i="1"/>
  <c r="U25" i="1"/>
  <c r="U24" i="1"/>
  <c r="T16" i="1"/>
  <c r="U67" i="1" l="1"/>
  <c r="U50" i="1"/>
  <c r="U9" i="1"/>
  <c r="U7" i="1"/>
  <c r="T5" i="1"/>
  <c r="T7" i="1" s="1"/>
  <c r="T29" i="1"/>
  <c r="T26" i="1"/>
  <c r="T25" i="1"/>
  <c r="T24" i="1"/>
  <c r="T18" i="1"/>
  <c r="T67" i="1"/>
  <c r="T9" i="1"/>
  <c r="U11" i="1" l="1"/>
  <c r="U8" i="1" s="1"/>
  <c r="U52" i="1"/>
  <c r="T50" i="1"/>
  <c r="T52" i="1" s="1"/>
  <c r="T11" i="1"/>
  <c r="T8" i="1" s="1"/>
  <c r="S5" i="1"/>
  <c r="S24" i="1" l="1"/>
  <c r="S29" i="1" l="1"/>
  <c r="S25" i="1"/>
  <c r="S18" i="1"/>
  <c r="S67" i="1"/>
  <c r="S9" i="1"/>
  <c r="S7" i="1"/>
  <c r="S11" i="1" l="1"/>
  <c r="S8" i="1" s="1"/>
  <c r="S50" i="1"/>
  <c r="S52" i="1" s="1"/>
  <c r="Q5" i="1"/>
  <c r="R16" i="1"/>
  <c r="R5" i="1"/>
  <c r="R18" i="1"/>
  <c r="Q24" i="1"/>
  <c r="Q29" i="1"/>
  <c r="Q25" i="1"/>
  <c r="Q18" i="1"/>
  <c r="Q67" i="1" l="1"/>
  <c r="Q50" i="1"/>
  <c r="Q9" i="1"/>
  <c r="Q7" i="1"/>
  <c r="R7" i="1"/>
  <c r="R24" i="1"/>
  <c r="R58" i="1"/>
  <c r="R67" i="1" s="1"/>
  <c r="R29" i="1"/>
  <c r="R25" i="1"/>
  <c r="R9" i="1"/>
  <c r="Q11" i="1" l="1"/>
  <c r="Q8" i="1" s="1"/>
  <c r="Q52" i="1"/>
  <c r="R50" i="1"/>
  <c r="R52" i="1" s="1"/>
  <c r="R11" i="1"/>
  <c r="R8" i="1" s="1"/>
  <c r="H25" i="1"/>
  <c r="I25" i="1"/>
  <c r="J25" i="1"/>
  <c r="K25" i="1"/>
  <c r="L25" i="1"/>
  <c r="M25" i="1"/>
  <c r="N25" i="1"/>
  <c r="O25" i="1"/>
  <c r="P58" i="1"/>
  <c r="P65" i="1"/>
  <c r="L9" i="1"/>
  <c r="K9" i="1"/>
  <c r="J9" i="1"/>
  <c r="I9" i="1"/>
  <c r="H9" i="1"/>
  <c r="P16" i="1" l="1"/>
  <c r="P18" i="1"/>
  <c r="P24" i="1"/>
  <c r="P25" i="1" l="1"/>
  <c r="P29" i="1" l="1"/>
  <c r="P5" i="1"/>
  <c r="P67" i="1" l="1"/>
  <c r="P50" i="1"/>
  <c r="P9" i="1"/>
  <c r="P7" i="1"/>
  <c r="P11" i="1" s="1"/>
  <c r="P8" i="1" l="1"/>
  <c r="P52" i="1"/>
  <c r="O16" i="1"/>
  <c r="O58" i="1"/>
  <c r="O5" i="1" l="1"/>
  <c r="O7" i="1" s="1"/>
  <c r="O29" i="1"/>
  <c r="O18" i="1"/>
  <c r="O67" i="1"/>
  <c r="O24" i="1"/>
  <c r="O9" i="1"/>
  <c r="O50" i="1" l="1"/>
  <c r="O52" i="1" s="1"/>
  <c r="O11" i="1"/>
  <c r="O8" i="1" s="1"/>
  <c r="N5" i="1"/>
  <c r="N29" i="1" l="1"/>
  <c r="N24" i="1"/>
  <c r="N18" i="1"/>
  <c r="N67" i="1"/>
  <c r="N9" i="1"/>
  <c r="N7" i="1"/>
  <c r="N50" i="1" l="1"/>
  <c r="N52" i="1" s="1"/>
  <c r="N11" i="1"/>
  <c r="N8" i="1" s="1"/>
  <c r="M9" i="1"/>
  <c r="M18" i="1" l="1"/>
  <c r="M62" i="1"/>
  <c r="M58" i="1"/>
  <c r="M5" i="1" l="1"/>
  <c r="M24" i="1"/>
  <c r="M60" i="1" l="1"/>
  <c r="M67" i="1" l="1"/>
  <c r="M29" i="1"/>
  <c r="M50" i="1" s="1"/>
  <c r="M7" i="1"/>
  <c r="M11" i="1" s="1"/>
  <c r="M8" i="1" s="1"/>
  <c r="M52" i="1" l="1"/>
  <c r="L29" i="1" l="1"/>
  <c r="L18" i="1"/>
  <c r="L5" i="1"/>
  <c r="L7" i="1" s="1"/>
  <c r="L11" i="1" s="1"/>
  <c r="L8" i="1" s="1"/>
  <c r="L67" i="1"/>
  <c r="L50" i="1" l="1"/>
  <c r="L52" i="1" s="1"/>
  <c r="K18" i="1" l="1"/>
  <c r="K5" i="1"/>
  <c r="K7" i="1" s="1"/>
  <c r="K67" i="1"/>
  <c r="K24" i="1"/>
  <c r="K11" i="1" l="1"/>
  <c r="K8" i="1" s="1"/>
  <c r="K50" i="1"/>
  <c r="K52" i="1" s="1"/>
  <c r="J67" i="1" l="1"/>
  <c r="J18" i="1"/>
  <c r="J24" i="1"/>
  <c r="J5" i="1"/>
  <c r="J7" i="1" s="1"/>
  <c r="J11" i="1" l="1"/>
  <c r="J8" i="1" s="1"/>
  <c r="J50" i="1"/>
  <c r="J52" i="1" s="1"/>
  <c r="I7" i="1"/>
  <c r="I67" i="1"/>
  <c r="H67" i="1"/>
  <c r="I18" i="1" l="1"/>
  <c r="I50" i="1" s="1"/>
  <c r="I52" i="1" s="1"/>
  <c r="H18" i="1"/>
  <c r="I11" i="1" l="1"/>
  <c r="I8" i="1" s="1"/>
  <c r="H50" i="1"/>
  <c r="H7" i="1"/>
  <c r="H11" i="1" s="1"/>
  <c r="H8" i="1" s="1"/>
  <c r="H52" i="1" l="1"/>
  <c r="G5" i="1"/>
  <c r="G16" i="1"/>
  <c r="G22" i="1" l="1"/>
  <c r="G24" i="1"/>
  <c r="G18" i="1" l="1"/>
  <c r="G25" i="1"/>
  <c r="G7" i="1"/>
  <c r="G67" i="1"/>
  <c r="G50" i="1" l="1"/>
  <c r="G52" i="1" s="1"/>
  <c r="F5" i="1"/>
  <c r="F25" i="1" l="1"/>
  <c r="F50" i="1" s="1"/>
  <c r="F7" i="1"/>
  <c r="F67" i="1"/>
  <c r="F52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<sst xmlns="http://schemas.openxmlformats.org/spreadsheetml/2006/main" count="228" uniqueCount="143">
  <si>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</si>
  <si>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</si>
  <si>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</si>
  <si>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</si>
  <si>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</si>
  <si>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</si>
  <si>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</si>
  <si>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</si>
  <si>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</si>
  <si>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</si>
  <si>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</si>
  <si>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</si>
  <si>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</si>
  <si>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</si>
  <si>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</si>
  <si>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</si>
  <si>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</si>
  <si>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</si>
  <si>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</si>
  <si>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</si>
  <si>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</si>
  <si>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</si>
  <si>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</si>
  <si>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</si>
  <si>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</si>
  <si>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</si>
  <si>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</si>
  <si>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</si>
  <si>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</si>
  <si>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</si>
  <si>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</si>
  <si>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</si>
  <si>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</si>
  <si>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</si>
  <si>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</si>
  <si>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</si>
  <si>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</si>
  <si>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</si>
  <si>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</si>
  <si>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</si>
  <si>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</si>
  <si>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</si>
  <si>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</si>
  <si>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</si>
  <si>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</si>
  <si>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</si>
  <si>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</si>
  <si>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</si>
  <si>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</si>
  <si>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</si>
  <si>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</si>
  <si>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</si>
  <si>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</si>
  <si>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</si>
  <si>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</si>
  <si>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</si>
  <si>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</si>
  <si>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</si>
  <si>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</si>
  <si>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</si>
  <si>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</si>
  <si>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</si>
  <si>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</si>
  <si>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</si>
  <si>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</si>
  <si>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</si>
  <si>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</si>
  <si>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</si>
  <si>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</si>
  <si>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</si>
  <si>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</si>
  <si>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</si>
  <si>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</si>
  <si>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</si>
  <si>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</si>
  <si>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Water Service</t>
  </si>
  <si>
    <t xml:space="preserve">Water, Wastewater &amp; Storm 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</si>
  <si>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</si>
  <si>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</si>
  <si>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</si>
  <si>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</si>
  <si>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</si>
  <si>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</si>
  <si>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</si>
  <si>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</si>
  <si>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</si>
  <si>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</si>
  <si>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</si>
  <si>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</si>
  <si>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</si>
  <si>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</si>
  <si>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</si>
  <si>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</si>
  <si>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</si>
  <si>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</si>
  <si>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</si>
  <si>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</si>
  <si>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Payroll - ADP Disbursement- 2238</t>
  </si>
  <si>
    <t>1000_500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</si>
  <si>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</si>
  <si>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</si>
  <si>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</si>
  <si>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</si>
  <si>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</si>
  <si>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</si>
  <si>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</si>
  <si>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</si>
  <si>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</si>
  <si>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Telecom  -Depository 3781</t>
  </si>
  <si>
    <t>A</t>
  </si>
  <si>
    <t>Days Cash On Hand</t>
  </si>
  <si>
    <t>Daily Operating Expense</t>
  </si>
  <si>
    <t>Operating Expense</t>
  </si>
  <si>
    <t>Cash on Hand</t>
  </si>
  <si>
    <t>Bank Account (s)- 3534,7866,2015,4557,9179,1193,1231,5538,7941,6115,9740,9732</t>
  </si>
  <si>
    <t>1050_496</t>
  </si>
  <si>
    <t xml:space="preserve"> Burlington Telecom </t>
  </si>
  <si>
    <t>Traffic - Depository- 9088 &amp; 8932, 5716</t>
  </si>
  <si>
    <t>AIP Deposit Account - 9575</t>
  </si>
  <si>
    <t>TD Bank- 1528/9146</t>
  </si>
  <si>
    <t>1310_100</t>
  </si>
  <si>
    <t>Capital Markets</t>
  </si>
  <si>
    <r>
      <t xml:space="preserve">Sweep Accounts &amp; Other Bank Accounts </t>
    </r>
    <r>
      <rPr>
        <sz val="24"/>
        <color theme="6" tint="-0.249977111117893"/>
        <rFont val="Calibri"/>
        <family val="2"/>
        <scheme val="minor"/>
      </rPr>
      <t>[UNAUDITED]</t>
    </r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</si>
  <si>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</si>
  <si>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</si>
  <si>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Last Year's Cash On Hand</t>
  </si>
  <si>
    <t>GAN AIP Deposit Account 9583</t>
  </si>
  <si>
    <t>BCDC  - Reserve Requirement- 1607, 8879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</si>
  <si>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</si>
  <si>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</si>
  <si>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</si>
  <si>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</si>
  <si>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</si>
  <si>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</si>
  <si>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</si>
  <si>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</si>
  <si>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</si>
  <si>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BT is currently paid thru December - normally we expect a month lag of BT owing between $130,000 and $200,000</t>
  </si>
  <si>
    <t>C</t>
  </si>
  <si>
    <t>Retirment Fund balance will be reduced with March 12th Tax Payments</t>
  </si>
  <si>
    <t>Our cash balance is approximately $5M better than prior year. This is direct result of the increase in the unassigned fund balance, aggressive accounts receivable collections, and overal improvement of our daily cash management.</t>
  </si>
  <si>
    <t>D</t>
  </si>
  <si>
    <t>Rental Revenues for BCDC are received semi-annual , and the next  payment  is  due in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</si>
</sst>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6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Times New Roman"/>
      <family val="1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61">
    <xf numFmtId="0" fontId="0" fillId="0" borderId="0" xfId="0"/>
    <xf numFmtId="0" fontId="0" fillId="2" borderId="0" xfId="0" applyFill="1"/>
    <xf numFmtId="0" fontId="3" fillId="2" borderId="0" xfId="0" applyFont="1" applyFill="1"/>
    <xf numFmtId="14" fontId="9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9" fillId="2" borderId="7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164" fontId="9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9" fillId="2" borderId="4" xfId="1" applyNumberFormat="1" applyFont="1" applyFill="1" applyBorder="1"/>
    <xf numFmtId="164" fontId="9" fillId="3" borderId="4" xfId="1" applyNumberFormat="1" applyFont="1" applyFill="1" applyBorder="1"/>
    <xf numFmtId="164" fontId="9" fillId="3" borderId="11" xfId="1" applyNumberFormat="1" applyFont="1" applyFill="1" applyBorder="1"/>
    <xf numFmtId="164" fontId="9" fillId="2" borderId="10" xfId="1" applyNumberFormat="1" applyFont="1" applyFill="1" applyBorder="1"/>
    <xf numFmtId="164" fontId="9" fillId="3" borderId="10" xfId="1" applyNumberFormat="1" applyFont="1" applyFill="1" applyBorder="1"/>
    <xf numFmtId="43" fontId="9" fillId="3" borderId="10" xfId="1" applyNumberFormat="1" applyFont="1" applyFill="1" applyBorder="1"/>
    <xf numFmtId="164" fontId="9" fillId="0" borderId="1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9" fillId="0" borderId="4" xfId="1" applyNumberFormat="1" applyFont="1" applyFill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8" xfId="0" applyFont="1" applyFill="1" applyBorder="1"/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37" fontId="9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3" fillId="2" borderId="6" xfId="0" applyNumberFormat="1" applyFont="1" applyFill="1" applyBorder="1" applyAlignment="1">
      <alignment horizontal="center"/>
    </xf>
    <xf numFmtId="37" fontId="13" fillId="0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164" fontId="2" fillId="4" borderId="2" xfId="1" applyNumberFormat="1" applyFont="1" applyFill="1" applyBorder="1"/>
    <xf numFmtId="0" fontId="9" fillId="2" borderId="0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164" fontId="2" fillId="4" borderId="5" xfId="1" applyNumberFormat="1" applyFont="1" applyFill="1" applyBorder="1"/>
    <xf numFmtId="0" fontId="0" fillId="4" borderId="0" xfId="0" applyFill="1"/>
    <xf numFmtId="0" fontId="9" fillId="2" borderId="0" xfId="0" applyFont="1" applyFill="1" applyBorder="1" applyAlignment="1">
      <alignment horizontal="left"/>
    </xf>
    <xf numFmtId="164" fontId="9" fillId="4" borderId="5" xfId="1" applyNumberFormat="1" applyFont="1" applyFill="1" applyBorder="1"/>
    <xf numFmtId="43" fontId="9" fillId="0" borderId="10" xfId="1" applyNumberFormat="1" applyFont="1" applyFill="1" applyBorder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tabSelected="1" topLeftCell="A57" zoomScale="60" zoomScaleNormal="60" workbookViewId="0">
      <pane xSplit="1" topLeftCell="B1" activePane="topRight" state="frozen"/>
      <selection activeCell="A43" sqref="A43"/>
      <selection pane="topRight" activeCell="C78" sqref="C78"/>
    </sheetView>
  </sheetViews>
  <sheetFormatPr defaultColWidth="8.85546875" defaultRowHeight="31.5" x14ac:dyDescent="0.5"/>
  <cols>
    <col min="1" max="1" width="26.140625" style="6" bestFit="1" customWidth="1"/>
    <col min="2" max="2" width="35.140625" style="6" customWidth="1"/>
    <col min="3" max="3" width="27.28515625" style="6" customWidth="1"/>
    <col min="4" max="4" width="51.42578125" style="6" customWidth="1"/>
    <col min="5" max="5" width="162" style="6" customWidth="1"/>
    <col min="6" max="6" width="32.5703125" style="6" hidden="1" customWidth="1"/>
    <col min="7" max="7" width="33.140625" style="6" hidden="1" customWidth="1"/>
    <col min="8" max="8" width="26.85546875" style="6" hidden="1" customWidth="1"/>
    <col min="9" max="16" width="26.85546875" style="4" hidden="1" customWidth="1"/>
    <col min="17" max="17" width="26.7109375" style="5" hidden="1" customWidth="1"/>
    <col min="18" max="19" width="26.85546875" style="4" hidden="1" customWidth="1"/>
    <col min="20" max="24" width="26.85546875" style="4" customWidth="1"/>
    <col min="25" max="25" width="26.85546875" style="4" bestFit="1" customWidth="1"/>
    <col min="26" max="26" width="26.85546875" style="5" bestFit="1" customWidth="1"/>
    <col min="27" max="16384" width="8.85546875" style="1"/>
  </cols>
  <sheetData>
    <row r="1" spans="1:27" x14ac:dyDescent="0.5">
      <c r="A1" s="58" t="s">
        <v>122</v>
      </c>
      <c r="B1" s="58"/>
      <c r="C1" s="58"/>
      <c r="D1" s="58"/>
      <c r="E1" s="58"/>
      <c r="F1" s="3"/>
      <c r="G1" s="3"/>
      <c r="H1" s="3"/>
    </row>
    <row r="2" spans="1:27" x14ac:dyDescent="0.5">
      <c r="A2" s="58" t="s">
        <v>0</v>
      </c>
      <c r="B2" s="58"/>
      <c r="C2" s="58"/>
      <c r="D2" s="58"/>
      <c r="E2" s="58"/>
    </row>
    <row r="3" spans="1:27" x14ac:dyDescent="0.5">
      <c r="B3" s="7"/>
      <c r="C3" s="7"/>
      <c r="D3" s="7"/>
      <c r="F3" s="3">
        <v>42173</v>
      </c>
      <c r="G3" s="3">
        <v>42185</v>
      </c>
      <c r="H3" s="3">
        <v>42216</v>
      </c>
      <c r="I3" s="8">
        <v>42247</v>
      </c>
      <c r="J3" s="8">
        <v>42277</v>
      </c>
      <c r="K3" s="8">
        <v>42308</v>
      </c>
      <c r="L3" s="8">
        <v>42338</v>
      </c>
      <c r="M3" s="8">
        <v>42368</v>
      </c>
      <c r="N3" s="8">
        <v>42400</v>
      </c>
      <c r="O3" s="8">
        <v>42429</v>
      </c>
      <c r="P3" s="8">
        <v>42460</v>
      </c>
      <c r="Q3" s="9">
        <v>42490</v>
      </c>
      <c r="R3" s="8">
        <v>42521</v>
      </c>
      <c r="S3" s="8">
        <v>42551</v>
      </c>
      <c r="T3" s="8">
        <v>42582</v>
      </c>
      <c r="U3" s="8">
        <v>42613</v>
      </c>
      <c r="V3" s="8">
        <v>42643</v>
      </c>
      <c r="W3" s="8">
        <v>42674</v>
      </c>
      <c r="X3" s="8">
        <v>42704</v>
      </c>
      <c r="Y3" s="8">
        <v>42735</v>
      </c>
      <c r="Z3" s="9">
        <v>42766</v>
      </c>
    </row>
    <row r="4" spans="1:27" x14ac:dyDescent="0.5">
      <c r="A4" s="10" t="s">
        <v>1</v>
      </c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2" t="s">
        <v>6</v>
      </c>
      <c r="H4" s="13"/>
    </row>
    <row r="5" spans="1:27" x14ac:dyDescent="0.5">
      <c r="A5" s="14">
        <v>101</v>
      </c>
      <c r="B5" s="15"/>
      <c r="C5" s="15" t="s">
        <v>7</v>
      </c>
      <c r="D5" s="15" t="s">
        <v>102</v>
      </c>
      <c r="E5" s="16" t="s">
        <v>9</v>
      </c>
      <c r="F5" s="13">
        <f>1252562.4+6290829.96+610600-1123248+85474+52161.64-338051</f>
        <v>6830328.9999999991</v>
      </c>
      <c r="G5" s="13">
        <f>3630654.45+3408361.82+75677-381367+39853.39</f>
        <v>6773179.6599999992</v>
      </c>
      <c r="H5" s="13">
        <v>3703558</v>
      </c>
      <c r="I5" s="13">
        <v>4808966</v>
      </c>
      <c r="J5" s="13">
        <f>1803945.45+1992413+4823</f>
        <v>3801181.45</v>
      </c>
      <c r="K5" s="13">
        <f>4499571.36+1952811.79+4822.72</f>
        <v>6457205.8700000001</v>
      </c>
      <c r="L5" s="13">
        <f>489519.83+1450535.41</f>
        <v>1940055.24</v>
      </c>
      <c r="M5" s="13">
        <f>1976583.21+707423.86-391702</f>
        <v>2292305.0699999998</v>
      </c>
      <c r="N5" s="13">
        <f>1716861.4+830538.69-504375.42</f>
        <v>2043024.67</v>
      </c>
      <c r="O5" s="13">
        <f>660950.06+1813620.01-123106.75-305512.5</f>
        <v>2045950.8200000003</v>
      </c>
      <c r="P5" s="13">
        <f>1373444.96+1984769.76</f>
        <v>3358214.7199999997</v>
      </c>
      <c r="Q5" s="17">
        <f>467025.62+605337.3+166965.13</f>
        <v>1239328.0499999998</v>
      </c>
      <c r="R5" s="13">
        <f>155069.4+5350952.01-227114.53+163612.88-1844642.48</f>
        <v>3597877.28</v>
      </c>
      <c r="S5" s="13">
        <f>515777.32+2120987.42+5567405.38-61180+2026488</f>
        <v>10169478.119999999</v>
      </c>
      <c r="T5" s="13">
        <f>694942.27+3524762.75+4067405.38-134504.48</f>
        <v>8152605.919999999</v>
      </c>
      <c r="U5" s="13">
        <f>1109061.88+4295299.96+2926321.99-533972.87</f>
        <v>7796710.96</v>
      </c>
      <c r="V5" s="13">
        <f>1141721.4+1019492.06+2926321.99-450831.35-237535.22</f>
        <v>4399168.8800000008</v>
      </c>
      <c r="W5" s="13">
        <f>293214.01+7599744</f>
        <v>7892958.0099999998</v>
      </c>
      <c r="X5" s="13">
        <f>870026.74+2872516.55+2284487.85+16500000-258601.18</f>
        <v>22268429.960000001</v>
      </c>
      <c r="Y5" s="13">
        <f>455836.72+1852972.29+3598507.8-233776.09+186169</f>
        <v>5859709.7199999997</v>
      </c>
      <c r="Z5" s="17">
        <f>859178.29+2895844.57+2598507.8-435374.52-87784.34</f>
        <v>5830371.8000000007</v>
      </c>
    </row>
    <row r="6" spans="1:27" ht="32.25" thickBot="1" x14ac:dyDescent="0.55000000000000004">
      <c r="A6" s="14" t="s">
        <v>10</v>
      </c>
      <c r="B6" s="15" t="s">
        <v>11</v>
      </c>
      <c r="C6" s="15" t="s">
        <v>7</v>
      </c>
      <c r="D6" s="15" t="s">
        <v>101</v>
      </c>
      <c r="E6" s="16" t="s">
        <v>13</v>
      </c>
      <c r="F6" s="18">
        <v>8927122.5</v>
      </c>
      <c r="G6" s="18">
        <v>8927123</v>
      </c>
      <c r="H6" s="18">
        <v>8927123</v>
      </c>
      <c r="I6" s="18">
        <v>8927123</v>
      </c>
      <c r="J6" s="18">
        <v>8927123</v>
      </c>
      <c r="K6" s="18">
        <v>6927122.5</v>
      </c>
      <c r="L6" s="18">
        <v>6927122.5</v>
      </c>
      <c r="M6" s="18">
        <v>5927122.5</v>
      </c>
      <c r="N6" s="18">
        <v>4927122.5</v>
      </c>
      <c r="O6" s="18">
        <v>2927122.5</v>
      </c>
      <c r="P6" s="18">
        <v>2927122.5</v>
      </c>
      <c r="Q6" s="19">
        <v>3090560.68</v>
      </c>
      <c r="R6" s="18">
        <v>2994527.88</v>
      </c>
      <c r="S6" s="18">
        <v>8927122.5</v>
      </c>
      <c r="T6" s="18">
        <v>8927122.5</v>
      </c>
      <c r="U6" s="18">
        <v>8927122.5</v>
      </c>
      <c r="V6" s="18">
        <v>8927122.5</v>
      </c>
      <c r="W6" s="18">
        <v>7619458.6600000001</v>
      </c>
      <c r="X6" s="18">
        <v>7768447</v>
      </c>
      <c r="Y6" s="18">
        <v>7962201.8499999996</v>
      </c>
      <c r="Z6" s="19">
        <f>6942201.85</f>
        <v>6942201.8499999996</v>
      </c>
    </row>
    <row r="7" spans="1:27" ht="32.25" thickBot="1" x14ac:dyDescent="0.55000000000000004">
      <c r="A7" s="14"/>
      <c r="B7" s="15"/>
      <c r="C7" s="15"/>
      <c r="D7" s="15"/>
      <c r="E7" s="10" t="s">
        <v>73</v>
      </c>
      <c r="F7" s="20">
        <f t="shared" ref="F7:H7" si="0">SUM(F5:F6)</f>
        <v>15757451.5</v>
      </c>
      <c r="G7" s="21">
        <f t="shared" si="0"/>
        <v>15700302.66</v>
      </c>
      <c r="H7" s="21">
        <f t="shared" si="0"/>
        <v>12630681</v>
      </c>
      <c r="I7" s="21">
        <f t="shared" ref="I7:N7" si="1">SUM(I5:I6)</f>
        <v>13736089</v>
      </c>
      <c r="J7" s="21">
        <f t="shared" si="1"/>
        <v>12728304.449999999</v>
      </c>
      <c r="K7" s="21">
        <f t="shared" si="1"/>
        <v>13384328.370000001</v>
      </c>
      <c r="L7" s="21">
        <f t="shared" si="1"/>
        <v>8867177.7400000002</v>
      </c>
      <c r="M7" s="21">
        <f t="shared" si="1"/>
        <v>8219427.5700000003</v>
      </c>
      <c r="N7" s="21">
        <f t="shared" si="1"/>
        <v>6970147.1699999999</v>
      </c>
      <c r="O7" s="21">
        <f t="shared" ref="O7:P7" si="2">SUM(O5:O6)</f>
        <v>4973073.32</v>
      </c>
      <c r="P7" s="21">
        <f t="shared" si="2"/>
        <v>6285337.2199999997</v>
      </c>
      <c r="Q7" s="22">
        <f t="shared" ref="Q7" si="3">SUM(Q5:Q6)</f>
        <v>4329888.7300000004</v>
      </c>
      <c r="R7" s="21">
        <f t="shared" ref="R7:S7" si="4">SUM(R5:R6)</f>
        <v>6592405.1600000001</v>
      </c>
      <c r="S7" s="21">
        <f t="shared" si="4"/>
        <v>19096600.619999997</v>
      </c>
      <c r="T7" s="21">
        <f t="shared" ref="T7:U7" si="5">SUM(T5:T6)</f>
        <v>17079728.419999998</v>
      </c>
      <c r="U7" s="21">
        <f t="shared" si="5"/>
        <v>16723833.460000001</v>
      </c>
      <c r="V7" s="21">
        <f t="shared" ref="V7" si="6">SUM(V5:V6)</f>
        <v>13326291.380000001</v>
      </c>
      <c r="W7" s="21">
        <f t="shared" ref="W7" si="7">SUM(W5:W6)</f>
        <v>15512416.67</v>
      </c>
      <c r="X7" s="21">
        <f t="shared" ref="X7:Y7" si="8">SUM(X5:X6)</f>
        <v>30036876.960000001</v>
      </c>
      <c r="Y7" s="21">
        <f t="shared" si="8"/>
        <v>13821911.57</v>
      </c>
      <c r="Z7" s="24">
        <f t="shared" ref="Z7" si="9">SUM(Z5:Z6)</f>
        <v>12772573.65</v>
      </c>
      <c r="AA7" s="6" t="s">
        <v>109</v>
      </c>
    </row>
    <row r="8" spans="1:27" ht="32.25" thickTop="1" x14ac:dyDescent="0.5">
      <c r="A8" s="14"/>
      <c r="B8" s="15"/>
      <c r="C8" s="15"/>
      <c r="D8" s="15"/>
      <c r="E8" s="10" t="s">
        <v>110</v>
      </c>
      <c r="F8" s="23"/>
      <c r="G8" s="24" t="e">
        <f t="shared" ref="G8:L8" si="10">G11/G9</f>
        <v>#DIV/0!</v>
      </c>
      <c r="H8" s="24">
        <f t="shared" si="10"/>
        <v>73.648093415359426</v>
      </c>
      <c r="I8" s="24">
        <f t="shared" si="10"/>
        <v>77.365903183315751</v>
      </c>
      <c r="J8" s="24">
        <f t="shared" si="10"/>
        <v>76.609913028115827</v>
      </c>
      <c r="K8" s="24">
        <f t="shared" si="10"/>
        <v>74.979399049813907</v>
      </c>
      <c r="L8" s="24">
        <f t="shared" si="10"/>
        <v>65.008289034046172</v>
      </c>
      <c r="M8" s="24">
        <f t="shared" ref="M8:R8" si="11">M11/M9</f>
        <v>52.75805413728412</v>
      </c>
      <c r="N8" s="24">
        <f t="shared" si="11"/>
        <v>45.795992947341794</v>
      </c>
      <c r="O8" s="24">
        <f t="shared" si="11"/>
        <v>37.329249873740956</v>
      </c>
      <c r="P8" s="24">
        <f t="shared" si="11"/>
        <v>41.39006233145934</v>
      </c>
      <c r="Q8" s="24">
        <f t="shared" si="11"/>
        <v>34.021571226211613</v>
      </c>
      <c r="R8" s="24">
        <f t="shared" si="11"/>
        <v>46.523925736631483</v>
      </c>
      <c r="S8" s="24">
        <f t="shared" ref="S8:T8" si="12">S11/S9</f>
        <v>111.17507752172523</v>
      </c>
      <c r="T8" s="24">
        <f t="shared" si="12"/>
        <v>104.97063314816323</v>
      </c>
      <c r="U8" s="24">
        <f t="shared" ref="U8" si="13">U11/U9</f>
        <v>107.94078073658282</v>
      </c>
      <c r="V8" s="24">
        <f t="shared" ref="V8" si="14">V11/V9</f>
        <v>88.361875761606726</v>
      </c>
      <c r="W8" s="24">
        <f t="shared" ref="W8" si="15">W11/W9</f>
        <v>104.51108439607712</v>
      </c>
      <c r="X8" s="24">
        <f t="shared" ref="X8:Y8" si="16">X11/X9</f>
        <v>169.85753148569486</v>
      </c>
      <c r="Y8" s="24">
        <f t="shared" si="16"/>
        <v>84.295764377026543</v>
      </c>
      <c r="Z8" s="24">
        <f t="shared" ref="Z8" si="17">Z11/Z9</f>
        <v>82.047913179097179</v>
      </c>
      <c r="AA8" s="2"/>
    </row>
    <row r="9" spans="1:27" hidden="1" x14ac:dyDescent="0.5">
      <c r="A9" s="14"/>
      <c r="B9" s="15"/>
      <c r="C9" s="15"/>
      <c r="D9" s="15"/>
      <c r="E9" s="10" t="s">
        <v>110</v>
      </c>
      <c r="F9" s="23"/>
      <c r="G9" s="24"/>
      <c r="H9" s="25">
        <f t="shared" ref="H9:L9" si="18">H10/365</f>
        <v>213976.25205479452</v>
      </c>
      <c r="I9" s="25">
        <f t="shared" si="18"/>
        <v>213976.25205479452</v>
      </c>
      <c r="J9" s="25">
        <f t="shared" si="18"/>
        <v>213976.25205479452</v>
      </c>
      <c r="K9" s="25">
        <f t="shared" si="18"/>
        <v>213976.25205479452</v>
      </c>
      <c r="L9" s="25">
        <f t="shared" si="18"/>
        <v>213976.25205479452</v>
      </c>
      <c r="M9" s="25">
        <f t="shared" ref="M9:Z9" si="19">M10/365</f>
        <v>213976.25205479452</v>
      </c>
      <c r="N9" s="25">
        <f t="shared" si="19"/>
        <v>213976.25205479452</v>
      </c>
      <c r="O9" s="25">
        <f t="shared" si="19"/>
        <v>213976.25205479452</v>
      </c>
      <c r="P9" s="25">
        <f t="shared" si="19"/>
        <v>213976.25205479452</v>
      </c>
      <c r="Q9" s="24">
        <f t="shared" si="19"/>
        <v>213976.25205479452</v>
      </c>
      <c r="R9" s="25">
        <f t="shared" si="19"/>
        <v>213976.25205479452</v>
      </c>
      <c r="S9" s="25">
        <f t="shared" si="19"/>
        <v>213976.25205479452</v>
      </c>
      <c r="T9" s="25">
        <f t="shared" si="19"/>
        <v>218255.7770958904</v>
      </c>
      <c r="U9" s="25">
        <f t="shared" si="19"/>
        <v>218255.7770958904</v>
      </c>
      <c r="V9" s="25">
        <f t="shared" si="19"/>
        <v>218255.7770958904</v>
      </c>
      <c r="W9" s="25">
        <f t="shared" si="19"/>
        <v>218255.7770958904</v>
      </c>
      <c r="X9" s="25">
        <f t="shared" si="19"/>
        <v>218255.7770958904</v>
      </c>
      <c r="Y9" s="25">
        <f t="shared" si="19"/>
        <v>218255.7770958904</v>
      </c>
      <c r="Z9" s="57">
        <f t="shared" si="19"/>
        <v>218255.7770958904</v>
      </c>
      <c r="AA9" s="2"/>
    </row>
    <row r="10" spans="1:27" hidden="1" x14ac:dyDescent="0.5">
      <c r="A10" s="14"/>
      <c r="B10" s="15"/>
      <c r="C10" s="15"/>
      <c r="D10" s="15"/>
      <c r="E10" s="10" t="s">
        <v>111</v>
      </c>
      <c r="F10" s="23"/>
      <c r="G10" s="24"/>
      <c r="H10" s="24">
        <v>78101332</v>
      </c>
      <c r="I10" s="24">
        <v>78101332</v>
      </c>
      <c r="J10" s="24">
        <v>78101332</v>
      </c>
      <c r="K10" s="24">
        <v>78101332</v>
      </c>
      <c r="L10" s="24">
        <v>78101332</v>
      </c>
      <c r="M10" s="24">
        <v>78101332</v>
      </c>
      <c r="N10" s="24">
        <v>78101332</v>
      </c>
      <c r="O10" s="24">
        <v>78101332</v>
      </c>
      <c r="P10" s="24">
        <v>78101332</v>
      </c>
      <c r="Q10" s="24">
        <v>78101332</v>
      </c>
      <c r="R10" s="24">
        <v>78101332</v>
      </c>
      <c r="S10" s="24">
        <v>78101332</v>
      </c>
      <c r="T10" s="24">
        <f>78101332*1.02</f>
        <v>79663358.640000001</v>
      </c>
      <c r="U10" s="24">
        <f t="shared" ref="U10:Z10" si="20">78101332*1.02</f>
        <v>79663358.640000001</v>
      </c>
      <c r="V10" s="24">
        <f t="shared" si="20"/>
        <v>79663358.640000001</v>
      </c>
      <c r="W10" s="24">
        <f t="shared" si="20"/>
        <v>79663358.640000001</v>
      </c>
      <c r="X10" s="24">
        <f t="shared" si="20"/>
        <v>79663358.640000001</v>
      </c>
      <c r="Y10" s="24">
        <f t="shared" si="20"/>
        <v>79663358.640000001</v>
      </c>
      <c r="Z10" s="26">
        <f t="shared" si="20"/>
        <v>79663358.640000001</v>
      </c>
      <c r="AA10" s="2"/>
    </row>
    <row r="11" spans="1:27" hidden="1" x14ac:dyDescent="0.5">
      <c r="A11" s="14"/>
      <c r="B11" s="15"/>
      <c r="C11" s="15"/>
      <c r="D11" s="15"/>
      <c r="E11" s="10" t="s">
        <v>112</v>
      </c>
      <c r="F11" s="23"/>
      <c r="G11" s="24"/>
      <c r="H11" s="24">
        <f t="shared" ref="H11:L11" si="21">H7+SUM(H18:H22)+H13</f>
        <v>15758943</v>
      </c>
      <c r="I11" s="24">
        <f t="shared" si="21"/>
        <v>16554466</v>
      </c>
      <c r="J11" s="24">
        <f t="shared" si="21"/>
        <v>16392702.059999999</v>
      </c>
      <c r="K11" s="24">
        <f t="shared" si="21"/>
        <v>16043810.790000001</v>
      </c>
      <c r="L11" s="24">
        <f t="shared" si="21"/>
        <v>13910230.039999999</v>
      </c>
      <c r="M11" s="24">
        <f t="shared" ref="M11:R11" si="22">M7+SUM(M18:M22)+M13</f>
        <v>11288970.690000001</v>
      </c>
      <c r="N11" s="24">
        <f t="shared" si="22"/>
        <v>9799254.9299999997</v>
      </c>
      <c r="O11" s="24">
        <f t="shared" si="22"/>
        <v>7987572.9800000004</v>
      </c>
      <c r="P11" s="24">
        <f t="shared" si="22"/>
        <v>8856490.4100000001</v>
      </c>
      <c r="Q11" s="24">
        <f t="shared" si="22"/>
        <v>7279808.3000000007</v>
      </c>
      <c r="R11" s="24">
        <f t="shared" si="22"/>
        <v>9955015.2599999998</v>
      </c>
      <c r="S11" s="24">
        <f t="shared" ref="S11:T11" si="23">S7+SUM(S18:S22)+S13</f>
        <v>23788826.409999996</v>
      </c>
      <c r="T11" s="24">
        <f t="shared" si="23"/>
        <v>22910447.109999999</v>
      </c>
      <c r="U11" s="24">
        <f t="shared" ref="U11" si="24">U7+SUM(U18:U22)+U13</f>
        <v>23558698.98</v>
      </c>
      <c r="V11" s="24">
        <f t="shared" ref="V11" si="25">V7+SUM(V18:V22)+V13</f>
        <v>19285489.859999999</v>
      </c>
      <c r="W11" s="24">
        <f t="shared" ref="W11" si="26">W7+SUM(W18:W22)+W13</f>
        <v>22810147.939999998</v>
      </c>
      <c r="X11" s="24">
        <f t="shared" ref="X11:Y11" si="27">X7+SUM(X18:X22)+X13</f>
        <v>37072387.530000001</v>
      </c>
      <c r="Y11" s="24">
        <f t="shared" si="27"/>
        <v>18398037.560000002</v>
      </c>
      <c r="Z11" s="26">
        <f t="shared" ref="Z11" si="28">Z7+SUM(Z18:Z22)+Z13</f>
        <v>17907431.050000001</v>
      </c>
      <c r="AA11" s="2"/>
    </row>
    <row r="12" spans="1:27" hidden="1" x14ac:dyDescent="0.5">
      <c r="A12" s="14"/>
      <c r="B12" s="15"/>
      <c r="C12" s="15"/>
      <c r="D12" s="15"/>
      <c r="E12" s="10" t="s">
        <v>113</v>
      </c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6"/>
      <c r="AA12" s="2"/>
    </row>
    <row r="13" spans="1:27" hidden="1" x14ac:dyDescent="0.5">
      <c r="A13" s="14"/>
      <c r="B13" s="15"/>
      <c r="C13" s="15"/>
      <c r="D13" s="15"/>
      <c r="E13" s="10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6"/>
      <c r="AA13" s="2"/>
    </row>
    <row r="14" spans="1:27" hidden="1" x14ac:dyDescent="0.5">
      <c r="A14" s="14"/>
      <c r="B14" s="15"/>
      <c r="C14" s="15"/>
      <c r="D14" s="15"/>
      <c r="E14" s="10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6"/>
      <c r="R14" s="24"/>
      <c r="S14" s="24"/>
      <c r="T14" s="24"/>
      <c r="U14" s="24"/>
      <c r="V14" s="24"/>
      <c r="W14" s="24"/>
      <c r="X14" s="24"/>
      <c r="Y14" s="24"/>
      <c r="Z14" s="26"/>
      <c r="AA14" s="2"/>
    </row>
    <row r="15" spans="1:27" s="54" customFormat="1" x14ac:dyDescent="0.5">
      <c r="A15" s="50"/>
      <c r="B15" s="51"/>
      <c r="C15" s="51"/>
      <c r="D15" s="51"/>
      <c r="E15" s="52" t="s">
        <v>125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6">
        <v>65</v>
      </c>
      <c r="Y15" s="56">
        <v>53</v>
      </c>
      <c r="Z15" s="56">
        <v>46</v>
      </c>
    </row>
    <row r="16" spans="1:27" x14ac:dyDescent="0.5">
      <c r="A16" s="14" t="s">
        <v>14</v>
      </c>
      <c r="B16" s="15" t="s">
        <v>15</v>
      </c>
      <c r="C16" s="15" t="s">
        <v>14</v>
      </c>
      <c r="D16" s="15" t="s">
        <v>12</v>
      </c>
      <c r="E16" s="16" t="s">
        <v>129</v>
      </c>
      <c r="F16" s="13">
        <v>1092348</v>
      </c>
      <c r="G16" s="13">
        <f>1702948+50378</f>
        <v>1753326</v>
      </c>
      <c r="H16" s="13">
        <v>1702948</v>
      </c>
      <c r="I16" s="13">
        <v>1751326</v>
      </c>
      <c r="J16" s="13">
        <v>1753326</v>
      </c>
      <c r="K16" s="13">
        <v>1111777.8400000001</v>
      </c>
      <c r="L16" s="17">
        <v>304432.19</v>
      </c>
      <c r="M16" s="17">
        <v>3758774.34</v>
      </c>
      <c r="N16" s="17">
        <v>3885967.75</v>
      </c>
      <c r="O16" s="17">
        <f>4018845.68-210535</f>
        <v>3808310.68</v>
      </c>
      <c r="P16" s="17">
        <f>3773647.01-98913.54</f>
        <v>3674733.4699999997</v>
      </c>
      <c r="Q16" s="17">
        <v>1884047.57</v>
      </c>
      <c r="R16" s="17">
        <f>2396629.5+1844642.48</f>
        <v>4241271.9800000004</v>
      </c>
      <c r="S16" s="17">
        <v>4358382.12</v>
      </c>
      <c r="T16" s="17">
        <f>4346375.11+134504.48</f>
        <v>4480879.5900000008</v>
      </c>
      <c r="U16" s="17">
        <v>5343069.99</v>
      </c>
      <c r="V16" s="17">
        <f>5083984.92+237535.22</f>
        <v>5321520.1399999997</v>
      </c>
      <c r="W16" s="17">
        <f>5518121.16</f>
        <v>5518121.1600000001</v>
      </c>
      <c r="X16" s="17">
        <f>5415598.36</f>
        <v>5415598.3600000003</v>
      </c>
      <c r="Y16" s="17">
        <f>5850993.01-186169</f>
        <v>5664824.0099999998</v>
      </c>
      <c r="Z16" s="17">
        <f>6018922.33</f>
        <v>6018922.3300000001</v>
      </c>
    </row>
    <row r="17" spans="1:27" hidden="1" x14ac:dyDescent="0.5">
      <c r="A17" s="14" t="s">
        <v>16</v>
      </c>
      <c r="B17" s="15" t="s">
        <v>17</v>
      </c>
      <c r="C17" s="15" t="s">
        <v>18</v>
      </c>
      <c r="D17" s="15" t="s">
        <v>8</v>
      </c>
      <c r="E17" s="16" t="s">
        <v>108</v>
      </c>
      <c r="F17" s="13">
        <v>215148.34</v>
      </c>
      <c r="G17" s="13">
        <v>215148.34</v>
      </c>
      <c r="H17" s="13">
        <v>171638</v>
      </c>
      <c r="I17" s="13">
        <v>171638</v>
      </c>
      <c r="J17" s="13">
        <v>0</v>
      </c>
      <c r="K17" s="13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</row>
    <row r="18" spans="1:27" x14ac:dyDescent="0.5">
      <c r="A18" s="14" t="s">
        <v>19</v>
      </c>
      <c r="B18" s="15" t="s">
        <v>20</v>
      </c>
      <c r="C18" s="15" t="s">
        <v>21</v>
      </c>
      <c r="D18" s="15" t="s">
        <v>119</v>
      </c>
      <c r="E18" s="16" t="s">
        <v>103</v>
      </c>
      <c r="F18" s="13">
        <v>260550.86</v>
      </c>
      <c r="G18" s="13">
        <f>149158.92+2191193.1</f>
        <v>2340352.02</v>
      </c>
      <c r="H18" s="13">
        <f>556720+477</f>
        <v>557197</v>
      </c>
      <c r="I18" s="13">
        <f>322512+477</f>
        <v>322989</v>
      </c>
      <c r="J18" s="13">
        <f>1168533.06+476.55</f>
        <v>1169009.6100000001</v>
      </c>
      <c r="K18" s="13">
        <f>94830.47+69263.95</f>
        <v>164094.41999999998</v>
      </c>
      <c r="L18" s="17">
        <f>1008734.05+1538930.75</f>
        <v>2547664.7999999998</v>
      </c>
      <c r="M18" s="17">
        <f>307015.43+459530.93-192390.74</f>
        <v>574155.62</v>
      </c>
      <c r="N18" s="17">
        <f>247638.25+68935.61</f>
        <v>316573.86</v>
      </c>
      <c r="O18" s="17">
        <f>452127.02+49839.14</f>
        <v>501966.16000000003</v>
      </c>
      <c r="P18" s="17">
        <f>732232.38+13414.84-687027.93</f>
        <v>58619.289999999921</v>
      </c>
      <c r="Q18" s="17">
        <f>390117.67+47268</f>
        <v>437385.67</v>
      </c>
      <c r="R18" s="17">
        <f>485835.14+527853.94-163612.88</f>
        <v>850076.2</v>
      </c>
      <c r="S18" s="17">
        <f>5174.55+1079547.27</f>
        <v>1084721.82</v>
      </c>
      <c r="T18" s="17">
        <f>189376.54+5174.9</f>
        <v>194551.44</v>
      </c>
      <c r="U18" s="17">
        <f>573962.61+90762.79+533972.87</f>
        <v>1198698.27</v>
      </c>
      <c r="V18" s="17">
        <f>246591.24+4.58</f>
        <v>246595.81999999998</v>
      </c>
      <c r="W18" s="17">
        <f>1473919.85+4.58</f>
        <v>1473924.4300000002</v>
      </c>
      <c r="X18" s="17">
        <f>1211699.92+3.81</f>
        <v>1211703.73</v>
      </c>
      <c r="Y18" s="17">
        <f>1878198.31+80738.9</f>
        <v>1958937.21</v>
      </c>
      <c r="Z18" s="17">
        <f>1725893.99+6.02+435374.52</f>
        <v>2161274.5300000003</v>
      </c>
      <c r="AA18" s="6"/>
    </row>
    <row r="19" spans="1:27" x14ac:dyDescent="0.5">
      <c r="A19" s="14" t="s">
        <v>22</v>
      </c>
      <c r="B19" s="15" t="s">
        <v>23</v>
      </c>
      <c r="C19" s="15" t="s">
        <v>24</v>
      </c>
      <c r="D19" s="15" t="s">
        <v>79</v>
      </c>
      <c r="E19" s="16" t="s">
        <v>128</v>
      </c>
      <c r="F19" s="13">
        <v>5000</v>
      </c>
      <c r="G19" s="13">
        <v>5000</v>
      </c>
      <c r="H19" s="13">
        <v>5000</v>
      </c>
      <c r="I19" s="13">
        <v>5000</v>
      </c>
      <c r="J19" s="13">
        <v>5000</v>
      </c>
      <c r="K19" s="13">
        <v>5000</v>
      </c>
      <c r="L19" s="13">
        <v>5000</v>
      </c>
      <c r="M19" s="13">
        <v>5000</v>
      </c>
      <c r="N19" s="13">
        <v>22146.400000000001</v>
      </c>
      <c r="O19" s="13">
        <v>22146</v>
      </c>
      <c r="P19" s="13">
        <v>22146.400000000001</v>
      </c>
      <c r="Q19" s="17">
        <v>22146.400000000001</v>
      </c>
      <c r="R19" s="13">
        <v>22146.400000000001</v>
      </c>
      <c r="S19" s="17">
        <v>1117116.47</v>
      </c>
      <c r="T19" s="17">
        <v>3145779.75</v>
      </c>
      <c r="U19" s="17">
        <v>3145779.75</v>
      </c>
      <c r="V19" s="17">
        <v>3222215.16</v>
      </c>
      <c r="W19" s="17">
        <v>3333419.34</v>
      </c>
      <c r="X19" s="17">
        <v>3333419.34</v>
      </c>
      <c r="Y19" s="17">
        <v>126801.28</v>
      </c>
      <c r="Z19" s="17">
        <f>483195.37</f>
        <v>483195.37</v>
      </c>
    </row>
    <row r="20" spans="1:27" x14ac:dyDescent="0.5">
      <c r="A20" s="14">
        <v>235</v>
      </c>
      <c r="B20" s="15" t="s">
        <v>15</v>
      </c>
      <c r="C20" s="15" t="s">
        <v>25</v>
      </c>
      <c r="D20" s="15" t="s">
        <v>12</v>
      </c>
      <c r="E20" s="16" t="s">
        <v>130</v>
      </c>
      <c r="F20" s="13">
        <v>1597463.74</v>
      </c>
      <c r="G20" s="13">
        <v>1597463.74</v>
      </c>
      <c r="H20" s="13">
        <v>1597464</v>
      </c>
      <c r="I20" s="13">
        <v>1597464</v>
      </c>
      <c r="J20" s="13">
        <v>1597464</v>
      </c>
      <c r="K20" s="13">
        <v>1597464</v>
      </c>
      <c r="L20" s="13">
        <v>1597463.74</v>
      </c>
      <c r="M20" s="13">
        <v>1597463.74</v>
      </c>
      <c r="N20" s="13">
        <v>1597463.74</v>
      </c>
      <c r="O20" s="13">
        <v>1597463.74</v>
      </c>
      <c r="P20" s="13">
        <v>1597463.74</v>
      </c>
      <c r="Q20" s="17">
        <v>1597463.74</v>
      </c>
      <c r="R20" s="13">
        <v>1597463.74</v>
      </c>
      <c r="S20" s="13">
        <v>1597463.74</v>
      </c>
      <c r="T20" s="13">
        <v>1597463.74</v>
      </c>
      <c r="U20" s="13">
        <v>1597463.74</v>
      </c>
      <c r="V20" s="13">
        <v>1597463.74</v>
      </c>
      <c r="W20" s="13">
        <v>1597463.74</v>
      </c>
      <c r="X20" s="13">
        <v>1597463.74</v>
      </c>
      <c r="Y20" s="13">
        <v>1597463.74</v>
      </c>
      <c r="Z20" s="17">
        <f>1597463.74</f>
        <v>1597463.74</v>
      </c>
    </row>
    <row r="21" spans="1:27" x14ac:dyDescent="0.5">
      <c r="A21" s="14">
        <v>700</v>
      </c>
      <c r="B21" s="15" t="s">
        <v>26</v>
      </c>
      <c r="C21" s="15" t="s">
        <v>27</v>
      </c>
      <c r="D21" s="15" t="s">
        <v>12</v>
      </c>
      <c r="E21" s="16" t="s">
        <v>84</v>
      </c>
      <c r="F21" s="13">
        <v>46129</v>
      </c>
      <c r="G21" s="13">
        <v>46129</v>
      </c>
      <c r="H21" s="13">
        <v>46129</v>
      </c>
      <c r="I21" s="13">
        <v>46129</v>
      </c>
      <c r="J21" s="13">
        <v>46129</v>
      </c>
      <c r="K21" s="13">
        <v>46129</v>
      </c>
      <c r="L21" s="13">
        <v>46129</v>
      </c>
      <c r="M21" s="13">
        <v>46129</v>
      </c>
      <c r="N21" s="13">
        <v>46129</v>
      </c>
      <c r="O21" s="13">
        <v>46129</v>
      </c>
      <c r="P21" s="13">
        <v>46129</v>
      </c>
      <c r="Q21" s="17">
        <v>46129</v>
      </c>
      <c r="R21" s="13">
        <v>46129</v>
      </c>
      <c r="S21" s="13">
        <v>46129</v>
      </c>
      <c r="T21" s="13">
        <v>46129</v>
      </c>
      <c r="U21" s="13">
        <v>46129</v>
      </c>
      <c r="V21" s="13">
        <v>46129</v>
      </c>
      <c r="W21" s="13">
        <v>46129</v>
      </c>
      <c r="X21" s="13">
        <v>46129</v>
      </c>
      <c r="Y21" s="13">
        <v>46129</v>
      </c>
      <c r="Z21" s="17">
        <f>46129</f>
        <v>46129</v>
      </c>
    </row>
    <row r="22" spans="1:27" x14ac:dyDescent="0.5">
      <c r="A22" s="14">
        <v>201</v>
      </c>
      <c r="B22" s="15" t="s">
        <v>28</v>
      </c>
      <c r="C22" s="15" t="s">
        <v>29</v>
      </c>
      <c r="D22" s="15" t="s">
        <v>12</v>
      </c>
      <c r="E22" s="16" t="s">
        <v>85</v>
      </c>
      <c r="F22" s="13">
        <v>836997.98</v>
      </c>
      <c r="G22" s="13">
        <f>922471.76-75677</f>
        <v>846794.76</v>
      </c>
      <c r="H22" s="13">
        <v>922472</v>
      </c>
      <c r="I22" s="13">
        <v>846795</v>
      </c>
      <c r="J22" s="13">
        <v>846795</v>
      </c>
      <c r="K22" s="13">
        <v>846795</v>
      </c>
      <c r="L22" s="13">
        <v>846794.76</v>
      </c>
      <c r="M22" s="13">
        <v>846794.76</v>
      </c>
      <c r="N22" s="13">
        <v>846794.76</v>
      </c>
      <c r="O22" s="13">
        <v>846794.76</v>
      </c>
      <c r="P22" s="13">
        <v>846794.76</v>
      </c>
      <c r="Q22" s="17">
        <v>846794.76</v>
      </c>
      <c r="R22" s="13">
        <v>846794.76</v>
      </c>
      <c r="S22" s="13">
        <v>846794.76</v>
      </c>
      <c r="T22" s="13">
        <v>846794.76</v>
      </c>
      <c r="U22" s="13">
        <v>846794.76</v>
      </c>
      <c r="V22" s="13">
        <v>846794.76</v>
      </c>
      <c r="W22" s="13">
        <v>846794.76</v>
      </c>
      <c r="X22" s="13">
        <v>846794.76</v>
      </c>
      <c r="Y22" s="13">
        <v>846794.76</v>
      </c>
      <c r="Z22" s="17">
        <f>846794.76</f>
        <v>846794.76</v>
      </c>
    </row>
    <row r="23" spans="1:27" x14ac:dyDescent="0.5">
      <c r="A23" s="14">
        <v>700</v>
      </c>
      <c r="B23" s="15" t="s">
        <v>30</v>
      </c>
      <c r="C23" s="15" t="s">
        <v>27</v>
      </c>
      <c r="D23" s="15" t="s">
        <v>12</v>
      </c>
      <c r="E23" s="16" t="s">
        <v>86</v>
      </c>
      <c r="F23" s="13">
        <v>141175.35999999999</v>
      </c>
      <c r="G23" s="13">
        <v>153483.60999999999</v>
      </c>
      <c r="H23" s="13">
        <v>153484</v>
      </c>
      <c r="I23" s="13">
        <v>153484</v>
      </c>
      <c r="J23" s="13">
        <v>153484</v>
      </c>
      <c r="K23" s="13">
        <v>153484</v>
      </c>
      <c r="L23" s="13">
        <v>153484</v>
      </c>
      <c r="M23" s="13">
        <v>153484</v>
      </c>
      <c r="N23" s="13">
        <v>153484</v>
      </c>
      <c r="O23" s="13">
        <v>153484</v>
      </c>
      <c r="P23" s="13">
        <v>153484</v>
      </c>
      <c r="Q23" s="17">
        <v>153484</v>
      </c>
      <c r="R23" s="13">
        <v>153484</v>
      </c>
      <c r="S23" s="13">
        <v>153484</v>
      </c>
      <c r="T23" s="13">
        <v>153484</v>
      </c>
      <c r="U23" s="13">
        <v>153484</v>
      </c>
      <c r="V23" s="13">
        <v>153484</v>
      </c>
      <c r="W23" s="13">
        <v>153484</v>
      </c>
      <c r="X23" s="13">
        <v>153484</v>
      </c>
      <c r="Y23" s="13">
        <v>153484</v>
      </c>
      <c r="Z23" s="17">
        <f>153484</f>
        <v>153484</v>
      </c>
    </row>
    <row r="24" spans="1:27" x14ac:dyDescent="0.5">
      <c r="A24" s="14" t="s">
        <v>31</v>
      </c>
      <c r="B24" s="15" t="s">
        <v>32</v>
      </c>
      <c r="C24" s="15" t="s">
        <v>7</v>
      </c>
      <c r="D24" s="15" t="s">
        <v>12</v>
      </c>
      <c r="E24" s="16" t="s">
        <v>117</v>
      </c>
      <c r="F24" s="13">
        <v>1156330.49</v>
      </c>
      <c r="G24" s="13">
        <f>818279.48+381367</f>
        <v>1199646.48</v>
      </c>
      <c r="H24" s="13">
        <v>1199646</v>
      </c>
      <c r="I24" s="13">
        <v>1199646</v>
      </c>
      <c r="J24" s="13">
        <f>1668934.41</f>
        <v>1668934.41</v>
      </c>
      <c r="K24" s="13">
        <f>1668934.41</f>
        <v>1668934.41</v>
      </c>
      <c r="L24" s="13">
        <v>1734359.37</v>
      </c>
      <c r="M24" s="13">
        <f>1734359.37+391702.35</f>
        <v>2126061.7200000002</v>
      </c>
      <c r="N24" s="13">
        <f>1734359.37</f>
        <v>1734359.37</v>
      </c>
      <c r="O24" s="13">
        <f>1734359.37</f>
        <v>1734359.37</v>
      </c>
      <c r="P24" s="13">
        <f>1934359.37-72829.31</f>
        <v>1861530.06</v>
      </c>
      <c r="Q24" s="17">
        <f>2039871.87+1018+166965.13</f>
        <v>2207855</v>
      </c>
      <c r="R24" s="13">
        <f>2039871.87+4416+227114.53</f>
        <v>2271402.4</v>
      </c>
      <c r="S24" s="13">
        <f>2238365.43+61180</f>
        <v>2299545.4300000002</v>
      </c>
      <c r="T24" s="13">
        <f>2253176.69</f>
        <v>2253176.69</v>
      </c>
      <c r="U24" s="13">
        <f>2802891.47</f>
        <v>2802891.47</v>
      </c>
      <c r="V24" s="13">
        <f>2266271.25+450831.35</f>
        <v>2717102.6</v>
      </c>
      <c r="W24" s="13">
        <f>2659430.06</f>
        <v>2659430.06</v>
      </c>
      <c r="X24" s="13">
        <f>2655818.69+258601.18</f>
        <v>2914419.87</v>
      </c>
      <c r="Y24" s="13">
        <f>2758376.61</f>
        <v>2758376.61</v>
      </c>
      <c r="Z24" s="17">
        <f>2948493.93+87784.34</f>
        <v>3036278.27</v>
      </c>
    </row>
    <row r="25" spans="1:27" x14ac:dyDescent="0.5">
      <c r="A25" s="14" t="s">
        <v>33</v>
      </c>
      <c r="B25" s="15" t="s">
        <v>34</v>
      </c>
      <c r="C25" s="15" t="s">
        <v>35</v>
      </c>
      <c r="D25" s="15" t="s">
        <v>87</v>
      </c>
      <c r="E25" s="16" t="s">
        <v>114</v>
      </c>
      <c r="F25" s="13">
        <f>9614.95+68713.63+1190+61829.59+2088802.32+81172.47+991.65+70</f>
        <v>2312384.6100000003</v>
      </c>
      <c r="G25" s="13">
        <f>70+1667.03+1219+5935.11+68713.63+1190+61830.42+2020857.11+635.03+81173.81</f>
        <v>2243291.14</v>
      </c>
      <c r="H25" s="13">
        <f>142696+2020857</f>
        <v>2163553</v>
      </c>
      <c r="I25" s="13">
        <f>171262+2020857</f>
        <v>2192119</v>
      </c>
      <c r="J25" s="13">
        <f>20497.34+4994.98+68713.63+36192.39+61830.52+2020857</f>
        <v>2213085.86</v>
      </c>
      <c r="K25" s="13">
        <f>1277.39+68713.63+61830.57+10211.82+1667.03+1373.99+2020857</f>
        <v>2165931.4300000002</v>
      </c>
      <c r="L25" s="13">
        <f>11793.62+68713.63+1372.39+45499.06+1667.03+1304.33+2020857</f>
        <v>2151207.06</v>
      </c>
      <c r="M25" s="13">
        <f>1467.39+68713.63+45499.1+12095.17+1667.03+1045.09+1591.52+2020857</f>
        <v>2152935.9300000002</v>
      </c>
      <c r="N25" s="13">
        <f>1562.39+68713.63+45499.14+10555.33+1540.12+1667.03+1123.95+2020857</f>
        <v>2151518.59</v>
      </c>
      <c r="O25" s="13">
        <f>310+68713.63+45499.14+975.33+862.86+1667.03+1155.52+55758.46+2020857</f>
        <v>2195798.9700000002</v>
      </c>
      <c r="P25" s="13">
        <f>405+68713.63+45499.18+1273.92+33543.75+1216.46+55759.35+2020857.11</f>
        <v>2227268.4</v>
      </c>
      <c r="Q25" s="17">
        <f>500+68713.63+45499.25+449.84+288.05+1667.03+1047.63+55761.21+2020857.11</f>
        <v>2194783.75</v>
      </c>
      <c r="R25" s="13">
        <f>20016+68713.63+45499.29+748.33+576.19+1667.03+1100.9+55762.15+2020857.11</f>
        <v>2214940.63</v>
      </c>
      <c r="S25" s="13">
        <f>690+68713.63+45499.33+973.26+85350.5+594.67+55763.06+2020857.11</f>
        <v>2278441.56</v>
      </c>
      <c r="T25" s="13">
        <f>156858.68+68713.63+45499.37+1124.61+1667.03+1172.6+55764.01+2020857.11</f>
        <v>2351657.04</v>
      </c>
      <c r="U25" s="13">
        <f>145+68713.63+45499.41+13197.97+130571.33+1084.1+55764.95+2020857.11</f>
        <v>2335833.5</v>
      </c>
      <c r="V25" s="13">
        <f>49914.35+68713.63+45499.44+13271.75+130571.33+1084.1+55765.87+2020857.11</f>
        <v>2385677.58</v>
      </c>
      <c r="W25" s="13">
        <f>145+68713.63+45499.48+12672.78+29396.48+4289.37+55766.81+2020857.11</f>
        <v>2237340.66</v>
      </c>
      <c r="X25" s="13">
        <f>284.54+68713.63+45499.52+12897.9+1667.03+1073.15+55767.73+2020857.11</f>
        <v>2206760.6100000003</v>
      </c>
      <c r="Y25" s="13">
        <f>93485.95+68713.63+45499.56+13049.46+1667.03+1364.21+55768.67+2020857.11</f>
        <v>2300405.62</v>
      </c>
      <c r="Z25" s="17">
        <f>13348.16+68713.63+284.54+45499.6+1667.03+1130.27+55769.62+2020857.11</f>
        <v>2207269.96</v>
      </c>
    </row>
    <row r="26" spans="1:27" x14ac:dyDescent="0.5">
      <c r="A26" s="14" t="s">
        <v>19</v>
      </c>
      <c r="B26" s="15" t="s">
        <v>36</v>
      </c>
      <c r="C26" s="15" t="s">
        <v>21</v>
      </c>
      <c r="D26" s="15" t="s">
        <v>12</v>
      </c>
      <c r="E26" s="16" t="s">
        <v>88</v>
      </c>
      <c r="F26" s="13">
        <v>3287560.21</v>
      </c>
      <c r="G26" s="13">
        <v>3287965.53</v>
      </c>
      <c r="H26" s="13">
        <v>3288384</v>
      </c>
      <c r="I26" s="13">
        <v>3288803</v>
      </c>
      <c r="J26" s="13">
        <v>2288803.34</v>
      </c>
      <c r="K26" s="13">
        <v>3288803.34</v>
      </c>
      <c r="L26" s="13">
        <v>3288803.34</v>
      </c>
      <c r="M26" s="13">
        <v>3288803.34</v>
      </c>
      <c r="N26" s="13">
        <v>3288803.34</v>
      </c>
      <c r="O26" s="13">
        <v>3288803.34</v>
      </c>
      <c r="P26" s="13">
        <v>3288803.34</v>
      </c>
      <c r="Q26" s="17">
        <v>3288803.34</v>
      </c>
      <c r="R26" s="13">
        <v>3289127.86</v>
      </c>
      <c r="S26" s="13">
        <v>3294755.37</v>
      </c>
      <c r="T26" s="13">
        <f>3295431.8</f>
        <v>3295431.8</v>
      </c>
      <c r="U26" s="13">
        <v>3296131.44</v>
      </c>
      <c r="V26" s="13">
        <v>3296831.23</v>
      </c>
      <c r="W26" s="13">
        <v>3296831.23</v>
      </c>
      <c r="X26" s="13">
        <v>3298208.6</v>
      </c>
      <c r="Y26" s="13">
        <v>3298886.17</v>
      </c>
      <c r="Z26" s="17">
        <f>3299586.55</f>
        <v>3299586.55</v>
      </c>
    </row>
    <row r="27" spans="1:27" x14ac:dyDescent="0.5">
      <c r="A27" s="14" t="s">
        <v>19</v>
      </c>
      <c r="B27" s="15" t="s">
        <v>37</v>
      </c>
      <c r="C27" s="15" t="s">
        <v>21</v>
      </c>
      <c r="D27" s="15" t="s">
        <v>12</v>
      </c>
      <c r="E27" s="16" t="s">
        <v>89</v>
      </c>
      <c r="F27" s="13">
        <v>2777953.74</v>
      </c>
      <c r="G27" s="13">
        <v>2558285.4900000002</v>
      </c>
      <c r="H27" s="13">
        <v>282025</v>
      </c>
      <c r="I27" s="13">
        <v>553667</v>
      </c>
      <c r="J27" s="13">
        <v>825257.08</v>
      </c>
      <c r="K27" s="13">
        <v>1096847.49</v>
      </c>
      <c r="L27" s="13">
        <v>1368437.9</v>
      </c>
      <c r="M27" s="13">
        <v>802265.81</v>
      </c>
      <c r="N27" s="13">
        <v>1073856.22</v>
      </c>
      <c r="O27" s="13">
        <v>1345446.63</v>
      </c>
      <c r="P27" s="13">
        <v>1617037.04</v>
      </c>
      <c r="Q27" s="17">
        <v>1888659.3</v>
      </c>
      <c r="R27" s="13">
        <v>2160249.71</v>
      </c>
      <c r="S27" s="13">
        <v>2881487.28</v>
      </c>
      <c r="T27" s="13">
        <v>360130.99</v>
      </c>
      <c r="U27" s="13">
        <v>669170.96</v>
      </c>
      <c r="V27" s="13">
        <v>977976.07</v>
      </c>
      <c r="W27" s="13">
        <v>1286671.8999999999</v>
      </c>
      <c r="X27" s="13">
        <v>1595777.38</v>
      </c>
      <c r="Y27" s="13">
        <v>1107594.3500000001</v>
      </c>
      <c r="Z27" s="17">
        <f>1416577.18</f>
        <v>1416577.18</v>
      </c>
    </row>
    <row r="28" spans="1:27" x14ac:dyDescent="0.5">
      <c r="A28" s="14">
        <v>400</v>
      </c>
      <c r="B28" s="15" t="s">
        <v>115</v>
      </c>
      <c r="C28" s="15" t="s">
        <v>21</v>
      </c>
      <c r="D28" s="15" t="s">
        <v>12</v>
      </c>
      <c r="E28" s="16" t="s">
        <v>118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v>58274.75</v>
      </c>
      <c r="Q28" s="17">
        <v>72680.95</v>
      </c>
      <c r="R28" s="13">
        <v>356181.27</v>
      </c>
      <c r="S28" s="13">
        <v>38107.49</v>
      </c>
      <c r="T28" s="13">
        <v>86751.3</v>
      </c>
      <c r="U28" s="13">
        <v>98666.46</v>
      </c>
      <c r="V28" s="13">
        <v>134685.76999999999</v>
      </c>
      <c r="W28" s="13">
        <v>175189.32</v>
      </c>
      <c r="X28" s="13">
        <v>183382.1</v>
      </c>
      <c r="Y28" s="13">
        <v>28306.25</v>
      </c>
      <c r="Z28" s="17">
        <f>14453.84</f>
        <v>14453.84</v>
      </c>
    </row>
    <row r="29" spans="1:27" x14ac:dyDescent="0.5">
      <c r="A29" s="14">
        <v>400</v>
      </c>
      <c r="B29" s="15" t="s">
        <v>38</v>
      </c>
      <c r="C29" s="15" t="s">
        <v>21</v>
      </c>
      <c r="D29" s="15" t="s">
        <v>8</v>
      </c>
      <c r="E29" s="16" t="s">
        <v>106</v>
      </c>
      <c r="F29" s="13">
        <v>2373777.4</v>
      </c>
      <c r="G29" s="13">
        <v>1955128.96</v>
      </c>
      <c r="H29" s="13">
        <v>2122746</v>
      </c>
      <c r="I29" s="13">
        <v>2262459</v>
      </c>
      <c r="J29" s="13">
        <v>2059232.49</v>
      </c>
      <c r="K29" s="13">
        <v>2180174.7599999998</v>
      </c>
      <c r="L29" s="13">
        <f>2240953.9+246139.6</f>
        <v>2487093.5</v>
      </c>
      <c r="M29" s="13">
        <f>2240953.9+246139.6</f>
        <v>2487093.5</v>
      </c>
      <c r="N29" s="13">
        <f>2296101.39+332518.18</f>
        <v>2628619.5700000003</v>
      </c>
      <c r="O29" s="13">
        <f>2386457.11+366401.6</f>
        <v>2752858.71</v>
      </c>
      <c r="P29" s="13">
        <f>285740.4+2479848.8</f>
        <v>2765589.1999999997</v>
      </c>
      <c r="Q29" s="17">
        <f>2543810.17+421718.06</f>
        <v>2965528.23</v>
      </c>
      <c r="R29" s="13">
        <f>2544506.94+661655.39</f>
        <v>3206162.33</v>
      </c>
      <c r="S29" s="13">
        <f>2545756.97+139320.36</f>
        <v>2685077.33</v>
      </c>
      <c r="T29" s="13">
        <f>279652.86+2546364.44</f>
        <v>2826017.3</v>
      </c>
      <c r="U29" s="13">
        <f>1846943.55+657470.85</f>
        <v>2504414.4</v>
      </c>
      <c r="V29" s="13">
        <f>2547446.55+548298.95</f>
        <v>3095745.5</v>
      </c>
      <c r="W29" s="13">
        <f>2547831.11+301241.78</f>
        <v>2849072.8899999997</v>
      </c>
      <c r="X29" s="13">
        <f>363427.55+2548683.38</f>
        <v>2912110.9299999997</v>
      </c>
      <c r="Y29" s="13">
        <f>2138006.76+395703.61</f>
        <v>2533710.3699999996</v>
      </c>
      <c r="Z29" s="17">
        <f>832805+2138564.3</f>
        <v>2971369.3</v>
      </c>
    </row>
    <row r="30" spans="1:27" x14ac:dyDescent="0.5">
      <c r="A30" s="14" t="s">
        <v>19</v>
      </c>
      <c r="B30" s="15" t="s">
        <v>39</v>
      </c>
      <c r="C30" s="15" t="s">
        <v>21</v>
      </c>
      <c r="D30" s="15" t="s">
        <v>12</v>
      </c>
      <c r="E30" s="16" t="s">
        <v>90</v>
      </c>
      <c r="F30" s="13">
        <v>486716.03</v>
      </c>
      <c r="G30" s="13">
        <v>486776.04</v>
      </c>
      <c r="H30" s="13">
        <v>486776</v>
      </c>
      <c r="I30" s="13">
        <v>486776</v>
      </c>
      <c r="J30" s="13">
        <v>486900.07</v>
      </c>
      <c r="K30" s="13">
        <v>486900.07</v>
      </c>
      <c r="L30" s="13">
        <v>486900.07</v>
      </c>
      <c r="M30" s="13">
        <v>486900.07</v>
      </c>
      <c r="N30" s="13">
        <v>486900.07</v>
      </c>
      <c r="O30" s="13">
        <v>486900.07</v>
      </c>
      <c r="P30" s="13">
        <v>486900.07</v>
      </c>
      <c r="Q30" s="17">
        <v>486928.08</v>
      </c>
      <c r="R30" s="13">
        <v>486928.08</v>
      </c>
      <c r="S30" s="13">
        <v>487792.17</v>
      </c>
      <c r="T30" s="13">
        <v>487892.31</v>
      </c>
      <c r="U30" s="13">
        <v>487995.89</v>
      </c>
      <c r="V30" s="13">
        <v>488099.49</v>
      </c>
      <c r="W30" s="13">
        <v>488099.49</v>
      </c>
      <c r="X30" s="13">
        <v>488303.41</v>
      </c>
      <c r="Y30" s="13">
        <v>488403.73</v>
      </c>
      <c r="Z30" s="17">
        <f>488507.42</f>
        <v>488507.42</v>
      </c>
    </row>
    <row r="31" spans="1:27" x14ac:dyDescent="0.5">
      <c r="A31" s="14">
        <v>400</v>
      </c>
      <c r="B31" s="15" t="s">
        <v>40</v>
      </c>
      <c r="C31" s="15" t="s">
        <v>21</v>
      </c>
      <c r="D31" s="15" t="s">
        <v>12</v>
      </c>
      <c r="E31" s="16" t="s">
        <v>91</v>
      </c>
      <c r="F31" s="13">
        <v>2192716.5499999998</v>
      </c>
      <c r="G31" s="13">
        <v>84949.54</v>
      </c>
      <c r="H31" s="13">
        <v>2358438</v>
      </c>
      <c r="I31" s="13">
        <v>2542818</v>
      </c>
      <c r="J31" s="13">
        <v>2644378.09</v>
      </c>
      <c r="K31" s="13">
        <v>2779886.09</v>
      </c>
      <c r="L31" s="13">
        <v>2859098.09</v>
      </c>
      <c r="M31" s="13">
        <v>2934030.09</v>
      </c>
      <c r="N31" s="13">
        <v>3112206.09</v>
      </c>
      <c r="O31" s="13">
        <v>3153786.09</v>
      </c>
      <c r="P31" s="13">
        <v>3204194.09</v>
      </c>
      <c r="Q31" s="17">
        <v>3016501.08</v>
      </c>
      <c r="R31" s="13">
        <v>3090833.08</v>
      </c>
      <c r="S31" s="13">
        <v>3037872.07</v>
      </c>
      <c r="T31" s="13">
        <v>3162645.73</v>
      </c>
      <c r="U31" s="13">
        <v>3309413</v>
      </c>
      <c r="V31" s="13">
        <v>3407155.1</v>
      </c>
      <c r="W31" s="13">
        <v>3484255.1</v>
      </c>
      <c r="X31" s="13">
        <v>3639338.94</v>
      </c>
      <c r="Y31" s="13">
        <v>3719874.82</v>
      </c>
      <c r="Z31" s="17">
        <f>3867148.11</f>
        <v>3867148.11</v>
      </c>
    </row>
    <row r="32" spans="1:27" x14ac:dyDescent="0.5">
      <c r="A32" s="14">
        <v>400</v>
      </c>
      <c r="B32" s="15"/>
      <c r="C32" s="15" t="s">
        <v>21</v>
      </c>
      <c r="D32" s="15" t="s">
        <v>12</v>
      </c>
      <c r="E32" s="16" t="s">
        <v>126</v>
      </c>
      <c r="F32" s="13">
        <v>65219</v>
      </c>
      <c r="G32" s="13">
        <v>1219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7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455762.37</v>
      </c>
      <c r="Y32" s="13">
        <v>0</v>
      </c>
      <c r="Z32" s="17">
        <f>48.39</f>
        <v>48.39</v>
      </c>
    </row>
    <row r="33" spans="1:26" hidden="1" x14ac:dyDescent="0.5">
      <c r="A33" s="14" t="s">
        <v>19</v>
      </c>
      <c r="B33" s="15" t="s">
        <v>42</v>
      </c>
      <c r="C33" s="15" t="s">
        <v>21</v>
      </c>
      <c r="D33" s="15" t="s">
        <v>41</v>
      </c>
      <c r="E33" s="16" t="s">
        <v>107</v>
      </c>
      <c r="F33" s="13">
        <v>5447</v>
      </c>
      <c r="G33" s="13">
        <v>5447</v>
      </c>
      <c r="H33" s="13">
        <v>5447</v>
      </c>
      <c r="I33" s="13">
        <v>5447</v>
      </c>
      <c r="J33" s="13">
        <v>5447</v>
      </c>
      <c r="K33" s="13">
        <v>5447</v>
      </c>
      <c r="L33" s="13">
        <v>5447</v>
      </c>
      <c r="M33" s="13">
        <v>5447.58</v>
      </c>
      <c r="N33" s="13">
        <v>5447.62</v>
      </c>
      <c r="O33" s="17">
        <v>5447.94</v>
      </c>
      <c r="P33" s="17">
        <v>5448.44</v>
      </c>
      <c r="Q33" s="17">
        <v>5449.09</v>
      </c>
      <c r="R33" s="17">
        <v>5449.71</v>
      </c>
      <c r="S33" s="13">
        <v>5449.71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17">
        <v>0</v>
      </c>
    </row>
    <row r="34" spans="1:26" x14ac:dyDescent="0.5">
      <c r="A34" s="14" t="s">
        <v>19</v>
      </c>
      <c r="B34" s="15" t="s">
        <v>43</v>
      </c>
      <c r="C34" s="15" t="s">
        <v>21</v>
      </c>
      <c r="D34" s="15" t="s">
        <v>12</v>
      </c>
      <c r="E34" s="16" t="s">
        <v>104</v>
      </c>
      <c r="F34" s="13">
        <v>215737.72</v>
      </c>
      <c r="G34" s="13">
        <v>215764.32</v>
      </c>
      <c r="H34" s="13">
        <v>215819</v>
      </c>
      <c r="I34" s="13">
        <v>215819</v>
      </c>
      <c r="J34" s="13">
        <v>215819</v>
      </c>
      <c r="K34" s="13">
        <v>215819</v>
      </c>
      <c r="L34" s="17">
        <v>215819</v>
      </c>
      <c r="M34" s="17">
        <v>215819.3</v>
      </c>
      <c r="N34" s="17">
        <v>215819.3</v>
      </c>
      <c r="O34" s="17">
        <v>215819.3</v>
      </c>
      <c r="P34" s="17">
        <v>215819.3</v>
      </c>
      <c r="Q34" s="17">
        <v>215819.3</v>
      </c>
      <c r="R34" s="17">
        <v>215863.81</v>
      </c>
      <c r="S34" s="17">
        <v>216246.83</v>
      </c>
      <c r="T34" s="17">
        <v>216291.22</v>
      </c>
      <c r="U34" s="17">
        <v>216337.14</v>
      </c>
      <c r="V34" s="17">
        <v>216383.07</v>
      </c>
      <c r="W34" s="17">
        <v>216383.07</v>
      </c>
      <c r="X34" s="17">
        <v>216473.47</v>
      </c>
      <c r="Y34" s="17">
        <v>216517.94</v>
      </c>
      <c r="Z34" s="17">
        <f>216563.91</f>
        <v>216563.91</v>
      </c>
    </row>
    <row r="35" spans="1:26" hidden="1" x14ac:dyDescent="0.5">
      <c r="A35" s="14">
        <v>600</v>
      </c>
      <c r="B35" s="15" t="s">
        <v>44</v>
      </c>
      <c r="C35" s="15" t="s">
        <v>45</v>
      </c>
      <c r="D35" s="15" t="s">
        <v>12</v>
      </c>
      <c r="E35" s="16" t="s">
        <v>92</v>
      </c>
      <c r="F35" s="13">
        <v>6961.83</v>
      </c>
      <c r="G35" s="13">
        <v>6961.83</v>
      </c>
      <c r="H35" s="13">
        <v>6962</v>
      </c>
      <c r="I35" s="13">
        <v>6962</v>
      </c>
      <c r="J35" s="13">
        <v>7072.18</v>
      </c>
      <c r="K35" s="13">
        <v>7072.18</v>
      </c>
      <c r="L35" s="13">
        <v>7072.53</v>
      </c>
      <c r="M35" s="13">
        <v>7072.65</v>
      </c>
      <c r="N35" s="13">
        <v>7072.77</v>
      </c>
      <c r="O35" s="13">
        <v>7072.77</v>
      </c>
      <c r="P35" s="13">
        <v>7073</v>
      </c>
      <c r="Q35" s="17">
        <v>7073.12</v>
      </c>
      <c r="R35" s="13">
        <v>7073.24</v>
      </c>
      <c r="S35" s="13">
        <v>7073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7">
        <v>0</v>
      </c>
    </row>
    <row r="36" spans="1:26" x14ac:dyDescent="0.5">
      <c r="A36" s="14">
        <v>603</v>
      </c>
      <c r="B36" s="15" t="s">
        <v>46</v>
      </c>
      <c r="C36" s="15" t="s">
        <v>45</v>
      </c>
      <c r="D36" s="15" t="s">
        <v>12</v>
      </c>
      <c r="E36" s="16" t="s">
        <v>93</v>
      </c>
      <c r="F36" s="13">
        <v>35792.1</v>
      </c>
      <c r="G36" s="13">
        <v>35792</v>
      </c>
      <c r="H36" s="13">
        <v>35792</v>
      </c>
      <c r="I36" s="13">
        <v>35792</v>
      </c>
      <c r="J36" s="13">
        <v>35792</v>
      </c>
      <c r="K36" s="13">
        <v>35792</v>
      </c>
      <c r="L36" s="13">
        <v>35792.1</v>
      </c>
      <c r="M36" s="13">
        <v>35792.1</v>
      </c>
      <c r="N36" s="13">
        <v>35792.1</v>
      </c>
      <c r="O36" s="13">
        <v>35792.1</v>
      </c>
      <c r="P36" s="13">
        <v>35792.1</v>
      </c>
      <c r="Q36" s="17">
        <v>35792.1</v>
      </c>
      <c r="R36" s="13">
        <v>35792.1</v>
      </c>
      <c r="S36" s="13">
        <v>35792.1</v>
      </c>
      <c r="T36" s="13">
        <v>35792.1</v>
      </c>
      <c r="U36" s="13">
        <v>35792.1</v>
      </c>
      <c r="V36" s="13">
        <v>35792.1</v>
      </c>
      <c r="W36" s="13">
        <v>35792.1</v>
      </c>
      <c r="X36" s="13">
        <v>35792.1</v>
      </c>
      <c r="Y36" s="13">
        <v>35792.1</v>
      </c>
      <c r="Z36" s="17">
        <f>35792.1</f>
        <v>35792.1</v>
      </c>
    </row>
    <row r="37" spans="1:26" x14ac:dyDescent="0.5">
      <c r="A37" s="14"/>
      <c r="B37" s="15" t="s">
        <v>46</v>
      </c>
      <c r="C37" s="15" t="s">
        <v>45</v>
      </c>
      <c r="D37" s="15" t="s">
        <v>12</v>
      </c>
      <c r="E37" s="16" t="s">
        <v>94</v>
      </c>
      <c r="F37" s="13">
        <v>188183</v>
      </c>
      <c r="G37" s="13">
        <v>188183</v>
      </c>
      <c r="H37" s="13">
        <v>188183</v>
      </c>
      <c r="I37" s="13">
        <v>188183</v>
      </c>
      <c r="J37" s="13">
        <v>188183</v>
      </c>
      <c r="K37" s="13">
        <v>188183</v>
      </c>
      <c r="L37" s="13">
        <v>188183</v>
      </c>
      <c r="M37" s="13">
        <v>188183</v>
      </c>
      <c r="N37" s="13">
        <v>188183</v>
      </c>
      <c r="O37" s="13">
        <v>188183</v>
      </c>
      <c r="P37" s="13">
        <v>188183</v>
      </c>
      <c r="Q37" s="17">
        <v>188183</v>
      </c>
      <c r="R37" s="13">
        <v>188183</v>
      </c>
      <c r="S37" s="13">
        <v>188183</v>
      </c>
      <c r="T37" s="13">
        <v>188183</v>
      </c>
      <c r="U37" s="13">
        <v>188183</v>
      </c>
      <c r="V37" s="13">
        <v>188183</v>
      </c>
      <c r="W37" s="13">
        <v>188183</v>
      </c>
      <c r="X37" s="13">
        <v>188183</v>
      </c>
      <c r="Y37" s="13">
        <v>188183</v>
      </c>
      <c r="Z37" s="17">
        <f>188183</f>
        <v>188183</v>
      </c>
    </row>
    <row r="38" spans="1:26" x14ac:dyDescent="0.5">
      <c r="A38" s="14">
        <v>605</v>
      </c>
      <c r="B38" s="15" t="s">
        <v>47</v>
      </c>
      <c r="C38" s="15" t="s">
        <v>45</v>
      </c>
      <c r="D38" s="15" t="s">
        <v>8</v>
      </c>
      <c r="E38" s="16" t="s">
        <v>127</v>
      </c>
      <c r="F38" s="13">
        <v>107</v>
      </c>
      <c r="G38" s="13">
        <v>107</v>
      </c>
      <c r="H38" s="13">
        <v>107</v>
      </c>
      <c r="I38" s="13">
        <v>107</v>
      </c>
      <c r="J38" s="17">
        <v>107</v>
      </c>
      <c r="K38" s="17">
        <v>107</v>
      </c>
      <c r="L38" s="17">
        <v>107</v>
      </c>
      <c r="M38" s="17">
        <v>107</v>
      </c>
      <c r="N38" s="17">
        <v>107</v>
      </c>
      <c r="O38" s="17">
        <v>107</v>
      </c>
      <c r="P38" s="17">
        <v>107</v>
      </c>
      <c r="Q38" s="17">
        <v>107</v>
      </c>
      <c r="R38" s="17">
        <v>107</v>
      </c>
      <c r="S38" s="17">
        <v>107</v>
      </c>
      <c r="T38" s="17">
        <v>107</v>
      </c>
      <c r="U38" s="17">
        <v>107</v>
      </c>
      <c r="V38" s="17">
        <v>107</v>
      </c>
      <c r="W38" s="17">
        <v>107</v>
      </c>
      <c r="X38" s="17">
        <v>107</v>
      </c>
      <c r="Y38" s="17">
        <v>7074.07</v>
      </c>
      <c r="Z38" s="17">
        <f>7120.75</f>
        <v>7120.75</v>
      </c>
    </row>
    <row r="39" spans="1:26" x14ac:dyDescent="0.5">
      <c r="A39" s="14">
        <v>101</v>
      </c>
      <c r="B39" s="15" t="s">
        <v>49</v>
      </c>
      <c r="C39" s="15" t="s">
        <v>7</v>
      </c>
      <c r="D39" s="15" t="s">
        <v>12</v>
      </c>
      <c r="E39" s="16" t="s">
        <v>95</v>
      </c>
      <c r="F39" s="13">
        <v>521645.74</v>
      </c>
      <c r="G39" s="13">
        <v>521645.74</v>
      </c>
      <c r="H39" s="13">
        <v>521646</v>
      </c>
      <c r="I39" s="13">
        <v>521312</v>
      </c>
      <c r="J39" s="13">
        <v>519758.26</v>
      </c>
      <c r="K39" s="13">
        <v>790415.57</v>
      </c>
      <c r="L39" s="13">
        <v>806324.56</v>
      </c>
      <c r="M39" s="13">
        <v>824491.39</v>
      </c>
      <c r="N39" s="13">
        <v>794061.39</v>
      </c>
      <c r="O39" s="13">
        <v>792321.98</v>
      </c>
      <c r="P39" s="13">
        <v>788932.73</v>
      </c>
      <c r="Q39" s="17">
        <v>789285.25</v>
      </c>
      <c r="R39" s="13">
        <v>789898.72</v>
      </c>
      <c r="S39" s="13">
        <v>803165.76</v>
      </c>
      <c r="T39" s="13">
        <v>803165.76</v>
      </c>
      <c r="U39" s="13">
        <v>803173.83</v>
      </c>
      <c r="V39" s="13">
        <v>803051.33</v>
      </c>
      <c r="W39" s="13">
        <v>807984.83</v>
      </c>
      <c r="X39" s="13">
        <v>806492.33</v>
      </c>
      <c r="Y39" s="13">
        <v>781902.33</v>
      </c>
      <c r="Z39" s="17">
        <f>750050.01</f>
        <v>750050.01</v>
      </c>
    </row>
    <row r="40" spans="1:26" x14ac:dyDescent="0.5">
      <c r="A40" s="14" t="s">
        <v>50</v>
      </c>
      <c r="B40" s="15" t="s">
        <v>51</v>
      </c>
      <c r="C40" s="15" t="s">
        <v>27</v>
      </c>
      <c r="D40" s="15" t="s">
        <v>12</v>
      </c>
      <c r="E40" s="16" t="s">
        <v>96</v>
      </c>
      <c r="F40" s="13">
        <v>140856</v>
      </c>
      <c r="G40" s="13">
        <v>140856</v>
      </c>
      <c r="H40" s="13">
        <v>140856</v>
      </c>
      <c r="I40" s="13">
        <v>140856</v>
      </c>
      <c r="J40" s="13">
        <v>140856</v>
      </c>
      <c r="K40" s="13">
        <v>140856</v>
      </c>
      <c r="L40" s="13">
        <v>140856</v>
      </c>
      <c r="M40" s="13">
        <v>140856</v>
      </c>
      <c r="N40" s="13">
        <v>140856</v>
      </c>
      <c r="O40" s="13">
        <v>140856</v>
      </c>
      <c r="P40" s="13">
        <v>140856</v>
      </c>
      <c r="Q40" s="17">
        <v>140856</v>
      </c>
      <c r="R40" s="13">
        <v>140856</v>
      </c>
      <c r="S40" s="13">
        <v>140856</v>
      </c>
      <c r="T40" s="13">
        <v>140856</v>
      </c>
      <c r="U40" s="13">
        <v>140856</v>
      </c>
      <c r="V40" s="13">
        <v>140856</v>
      </c>
      <c r="W40" s="13">
        <v>140856</v>
      </c>
      <c r="X40" s="13">
        <v>140856</v>
      </c>
      <c r="Y40" s="13">
        <v>140856</v>
      </c>
      <c r="Z40" s="17">
        <f>140856</f>
        <v>140856</v>
      </c>
    </row>
    <row r="41" spans="1:26" x14ac:dyDescent="0.5">
      <c r="A41" s="14" t="s">
        <v>10</v>
      </c>
      <c r="B41" s="15" t="s">
        <v>52</v>
      </c>
      <c r="C41" s="15" t="s">
        <v>7</v>
      </c>
      <c r="D41" s="15" t="s">
        <v>8</v>
      </c>
      <c r="E41" s="16" t="s">
        <v>97</v>
      </c>
      <c r="F41" s="13">
        <v>13564</v>
      </c>
      <c r="G41" s="13">
        <v>13566.28</v>
      </c>
      <c r="H41" s="13">
        <v>13568</v>
      </c>
      <c r="I41" s="13">
        <v>13568</v>
      </c>
      <c r="J41" s="13">
        <v>13568</v>
      </c>
      <c r="K41" s="13">
        <v>13568</v>
      </c>
      <c r="L41" s="13">
        <v>13569.93</v>
      </c>
      <c r="M41" s="13">
        <v>13571.74</v>
      </c>
      <c r="N41" s="13">
        <v>13571.74</v>
      </c>
      <c r="O41" s="13">
        <v>13571.74</v>
      </c>
      <c r="P41" s="13">
        <v>13573.52</v>
      </c>
      <c r="Q41" s="17">
        <v>13574.44</v>
      </c>
      <c r="R41" s="13">
        <v>12575.33</v>
      </c>
      <c r="S41" s="13">
        <v>13577.14</v>
      </c>
      <c r="T41" s="13">
        <v>13578.06</v>
      </c>
      <c r="U41" s="13">
        <v>13578.98</v>
      </c>
      <c r="V41" s="13">
        <v>13579.87</v>
      </c>
      <c r="W41" s="13">
        <v>13580.79</v>
      </c>
      <c r="X41" s="13">
        <v>13581.68</v>
      </c>
      <c r="Y41" s="13">
        <v>13582.6</v>
      </c>
      <c r="Z41" s="17">
        <v>0</v>
      </c>
    </row>
    <row r="42" spans="1:26" x14ac:dyDescent="0.5">
      <c r="A42" s="14">
        <v>101</v>
      </c>
      <c r="B42" s="15" t="s">
        <v>53</v>
      </c>
      <c r="C42" s="15" t="s">
        <v>48</v>
      </c>
      <c r="D42" s="15" t="s">
        <v>121</v>
      </c>
      <c r="E42" s="16" t="s">
        <v>135</v>
      </c>
      <c r="F42" s="13">
        <v>1058965</v>
      </c>
      <c r="G42" s="13">
        <v>1058965</v>
      </c>
      <c r="H42" s="13">
        <v>1000183.75</v>
      </c>
      <c r="I42" s="13">
        <v>1001148</v>
      </c>
      <c r="J42" s="13">
        <v>1001148</v>
      </c>
      <c r="K42" s="17">
        <v>1001148</v>
      </c>
      <c r="L42" s="17">
        <v>1001148</v>
      </c>
      <c r="M42" s="17">
        <v>1014260.98</v>
      </c>
      <c r="N42" s="17">
        <v>1016162.87</v>
      </c>
      <c r="O42" s="17">
        <v>1017332.13</v>
      </c>
      <c r="P42" s="17">
        <v>1019193.18</v>
      </c>
      <c r="Q42" s="17">
        <v>1263942.01</v>
      </c>
      <c r="R42" s="17">
        <v>1263638.73</v>
      </c>
      <c r="S42" s="17">
        <v>1265157.46</v>
      </c>
      <c r="T42" s="17">
        <v>1267073.27</v>
      </c>
      <c r="U42" s="17">
        <v>1246831.9099999999</v>
      </c>
      <c r="V42" s="17">
        <v>1247660.17</v>
      </c>
      <c r="W42" s="17">
        <v>1252880.8500000001</v>
      </c>
      <c r="X42" s="17">
        <v>1251946.3</v>
      </c>
      <c r="Y42" s="17">
        <v>1248975.27</v>
      </c>
      <c r="Z42" s="17">
        <f>1249036.83</f>
        <v>1249036.83</v>
      </c>
    </row>
    <row r="43" spans="1:26" x14ac:dyDescent="0.5">
      <c r="A43" s="14">
        <v>500</v>
      </c>
      <c r="B43" s="15" t="s">
        <v>98</v>
      </c>
      <c r="C43" s="15" t="s">
        <v>48</v>
      </c>
      <c r="D43" s="15" t="s">
        <v>12</v>
      </c>
      <c r="E43" s="16" t="s">
        <v>99</v>
      </c>
      <c r="F43" s="13">
        <v>133819</v>
      </c>
      <c r="G43" s="13">
        <v>133819</v>
      </c>
      <c r="H43" s="13">
        <v>133819</v>
      </c>
      <c r="I43" s="13">
        <v>133819</v>
      </c>
      <c r="J43" s="13">
        <v>133819</v>
      </c>
      <c r="K43" s="13">
        <v>133819</v>
      </c>
      <c r="L43" s="13">
        <v>133818.60999999999</v>
      </c>
      <c r="M43" s="13">
        <v>133818.60999999999</v>
      </c>
      <c r="N43" s="13">
        <v>133818.60999999999</v>
      </c>
      <c r="O43" s="13">
        <v>133818.60999999999</v>
      </c>
      <c r="P43" s="13">
        <v>233818.91</v>
      </c>
      <c r="Q43" s="17">
        <v>1574.43</v>
      </c>
      <c r="R43" s="13">
        <v>1574.43</v>
      </c>
      <c r="S43" s="13">
        <v>1574.43</v>
      </c>
      <c r="T43" s="13">
        <v>1574.43</v>
      </c>
      <c r="U43" s="13">
        <v>1574.43</v>
      </c>
      <c r="V43" s="13">
        <v>1574.43</v>
      </c>
      <c r="W43" s="13">
        <v>1574.43</v>
      </c>
      <c r="X43" s="13">
        <v>1574.43</v>
      </c>
      <c r="Y43" s="13">
        <v>1574.43</v>
      </c>
      <c r="Z43" s="17">
        <f>1574.43</f>
        <v>1574.43</v>
      </c>
    </row>
    <row r="44" spans="1:26" x14ac:dyDescent="0.5">
      <c r="A44" s="14">
        <v>101</v>
      </c>
      <c r="B44" s="15" t="s">
        <v>120</v>
      </c>
      <c r="C44" s="15" t="s">
        <v>7</v>
      </c>
      <c r="D44" s="15" t="s">
        <v>121</v>
      </c>
      <c r="E44" s="16" t="s">
        <v>136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7"/>
      <c r="R44" s="13"/>
      <c r="S44" s="13">
        <v>2026487.5</v>
      </c>
      <c r="T44" s="13">
        <v>2027972.5</v>
      </c>
      <c r="U44" s="13">
        <v>2027232.5</v>
      </c>
      <c r="V44" s="13">
        <v>2526735</v>
      </c>
      <c r="W44" s="13">
        <v>2527845</v>
      </c>
      <c r="X44" s="13">
        <v>2772352.5</v>
      </c>
      <c r="Y44" s="13">
        <v>2751955</v>
      </c>
      <c r="Z44" s="17">
        <f>2753720</f>
        <v>2753720</v>
      </c>
    </row>
    <row r="45" spans="1:26" x14ac:dyDescent="0.5">
      <c r="A45" s="14">
        <v>503</v>
      </c>
      <c r="B45" s="15" t="s">
        <v>54</v>
      </c>
      <c r="C45" s="15" t="s">
        <v>48</v>
      </c>
      <c r="D45" s="15" t="s">
        <v>80</v>
      </c>
      <c r="E45" s="16" t="s">
        <v>55</v>
      </c>
      <c r="F45" s="13">
        <v>1811.32</v>
      </c>
      <c r="G45" s="13">
        <v>1811</v>
      </c>
      <c r="H45" s="13">
        <v>1811</v>
      </c>
      <c r="I45" s="13">
        <v>1811</v>
      </c>
      <c r="J45" s="13">
        <v>1811</v>
      </c>
      <c r="K45" s="13">
        <v>1811</v>
      </c>
      <c r="L45" s="13">
        <v>1811.33</v>
      </c>
      <c r="M45" s="13">
        <v>1811.33</v>
      </c>
      <c r="N45" s="13">
        <v>1811.33</v>
      </c>
      <c r="O45" s="13">
        <v>1811.33</v>
      </c>
      <c r="P45" s="13">
        <v>1811.33</v>
      </c>
      <c r="Q45" s="17">
        <v>1811.33</v>
      </c>
      <c r="R45" s="13">
        <v>1811.34</v>
      </c>
      <c r="S45" s="13">
        <v>1811.34</v>
      </c>
      <c r="T45" s="13">
        <v>1811.34</v>
      </c>
      <c r="U45" s="13">
        <v>1811.34</v>
      </c>
      <c r="V45" s="13">
        <v>1811.34</v>
      </c>
      <c r="W45" s="13">
        <v>1811.34</v>
      </c>
      <c r="X45" s="13">
        <v>1811.35</v>
      </c>
      <c r="Y45" s="13">
        <v>1811.35</v>
      </c>
      <c r="Z45" s="17">
        <f>1811.35</f>
        <v>1811.35</v>
      </c>
    </row>
    <row r="46" spans="1:26" x14ac:dyDescent="0.5">
      <c r="A46" s="14">
        <v>504</v>
      </c>
      <c r="B46" s="15" t="s">
        <v>56</v>
      </c>
      <c r="C46" s="15" t="s">
        <v>48</v>
      </c>
      <c r="D46" s="15" t="s">
        <v>81</v>
      </c>
      <c r="E46" s="16" t="s">
        <v>132</v>
      </c>
      <c r="F46" s="13">
        <v>1619.76</v>
      </c>
      <c r="G46" s="13">
        <v>1620</v>
      </c>
      <c r="H46" s="13">
        <v>1620</v>
      </c>
      <c r="I46" s="13">
        <v>1620</v>
      </c>
      <c r="J46" s="13">
        <v>1620</v>
      </c>
      <c r="K46" s="13">
        <v>1620</v>
      </c>
      <c r="L46" s="13">
        <v>1619.77</v>
      </c>
      <c r="M46" s="13">
        <v>1619.77</v>
      </c>
      <c r="N46" s="13">
        <v>1619.77</v>
      </c>
      <c r="O46" s="13">
        <v>1619.77</v>
      </c>
      <c r="P46" s="13">
        <v>1619.78</v>
      </c>
      <c r="Q46" s="17">
        <v>1619.78</v>
      </c>
      <c r="R46" s="13">
        <v>1619.78</v>
      </c>
      <c r="S46" s="13">
        <v>1619.78</v>
      </c>
      <c r="T46" s="13">
        <v>1619.78</v>
      </c>
      <c r="U46" s="13">
        <v>1619.78</v>
      </c>
      <c r="V46" s="13">
        <v>1619.79</v>
      </c>
      <c r="W46" s="13">
        <v>1619.79</v>
      </c>
      <c r="X46" s="13">
        <v>1619.79</v>
      </c>
      <c r="Y46" s="13">
        <v>1619.79</v>
      </c>
      <c r="Z46" s="17">
        <f>1619.79</f>
        <v>1619.79</v>
      </c>
    </row>
    <row r="47" spans="1:26" x14ac:dyDescent="0.5">
      <c r="A47" s="14">
        <v>505</v>
      </c>
      <c r="B47" s="15" t="s">
        <v>57</v>
      </c>
      <c r="C47" s="15" t="s">
        <v>48</v>
      </c>
      <c r="D47" s="15" t="s">
        <v>82</v>
      </c>
      <c r="E47" s="16" t="s">
        <v>131</v>
      </c>
      <c r="F47" s="13">
        <v>11241.78</v>
      </c>
      <c r="G47" s="13">
        <v>11242</v>
      </c>
      <c r="H47" s="13">
        <v>11242</v>
      </c>
      <c r="I47" s="13">
        <v>11242</v>
      </c>
      <c r="J47" s="13">
        <v>11242</v>
      </c>
      <c r="K47" s="13">
        <v>11242</v>
      </c>
      <c r="L47" s="13">
        <v>11241.84</v>
      </c>
      <c r="M47" s="13">
        <v>11241.85</v>
      </c>
      <c r="N47" s="13">
        <v>11241.85</v>
      </c>
      <c r="O47" s="13">
        <v>11241.85</v>
      </c>
      <c r="P47" s="13">
        <v>11241.87</v>
      </c>
      <c r="Q47" s="17">
        <v>11241.87</v>
      </c>
      <c r="R47" s="13">
        <v>11241.9</v>
      </c>
      <c r="S47" s="13">
        <v>11241.9</v>
      </c>
      <c r="T47" s="13">
        <v>11241.9</v>
      </c>
      <c r="U47" s="13">
        <v>11241.9</v>
      </c>
      <c r="V47" s="13">
        <v>11241.93</v>
      </c>
      <c r="W47" s="13">
        <v>11241.94</v>
      </c>
      <c r="X47" s="13">
        <v>11241.95</v>
      </c>
      <c r="Y47" s="13">
        <v>11241.96</v>
      </c>
      <c r="Z47" s="17">
        <f>11241.97</f>
        <v>11241.97</v>
      </c>
    </row>
    <row r="48" spans="1:26" x14ac:dyDescent="0.5">
      <c r="A48" s="14">
        <v>506</v>
      </c>
      <c r="B48" s="15" t="s">
        <v>58</v>
      </c>
      <c r="C48" s="15" t="s">
        <v>48</v>
      </c>
      <c r="D48" s="15" t="s">
        <v>105</v>
      </c>
      <c r="E48" s="16" t="s">
        <v>133</v>
      </c>
      <c r="F48" s="13">
        <v>628.41999999999996</v>
      </c>
      <c r="G48" s="13">
        <v>628</v>
      </c>
      <c r="H48" s="13">
        <v>628</v>
      </c>
      <c r="I48" s="13">
        <v>628</v>
      </c>
      <c r="J48" s="13">
        <v>628</v>
      </c>
      <c r="K48" s="13">
        <v>628</v>
      </c>
      <c r="L48" s="13">
        <v>628.41999999999996</v>
      </c>
      <c r="M48" s="13">
        <v>628.41999999999996</v>
      </c>
      <c r="N48" s="13">
        <v>628.41999999999996</v>
      </c>
      <c r="O48" s="13">
        <v>628.41999999999996</v>
      </c>
      <c r="P48" s="13">
        <v>628.41999999999996</v>
      </c>
      <c r="Q48" s="17">
        <v>628.41999999999996</v>
      </c>
      <c r="R48" s="13">
        <v>628.41999999999996</v>
      </c>
      <c r="S48" s="13">
        <v>628.41999999999996</v>
      </c>
      <c r="T48" s="13">
        <v>628.42999999999995</v>
      </c>
      <c r="U48" s="13">
        <v>628.42999999999995</v>
      </c>
      <c r="V48" s="13">
        <v>628.42999999999995</v>
      </c>
      <c r="W48" s="13">
        <v>628.42999999999995</v>
      </c>
      <c r="X48" s="13">
        <v>628.42999999999995</v>
      </c>
      <c r="Y48" s="13">
        <v>628.42999999999995</v>
      </c>
      <c r="Z48" s="17">
        <f>628.43</f>
        <v>628.42999999999995</v>
      </c>
    </row>
    <row r="49" spans="1:27" x14ac:dyDescent="0.5">
      <c r="A49" s="14">
        <v>507</v>
      </c>
      <c r="B49" s="15" t="s">
        <v>59</v>
      </c>
      <c r="C49" s="15" t="s">
        <v>48</v>
      </c>
      <c r="D49" s="15" t="s">
        <v>83</v>
      </c>
      <c r="E49" s="16" t="s">
        <v>134</v>
      </c>
      <c r="F49" s="13">
        <v>28087.49</v>
      </c>
      <c r="G49" s="13">
        <v>28087</v>
      </c>
      <c r="H49" s="13">
        <v>28087</v>
      </c>
      <c r="I49" s="13">
        <v>28087</v>
      </c>
      <c r="J49" s="13">
        <v>28087</v>
      </c>
      <c r="K49" s="13">
        <v>28087</v>
      </c>
      <c r="L49" s="13">
        <v>28087.63</v>
      </c>
      <c r="M49" s="13">
        <v>28087.65</v>
      </c>
      <c r="N49" s="13">
        <v>28087.68</v>
      </c>
      <c r="O49" s="13">
        <v>28087.68</v>
      </c>
      <c r="P49" s="13">
        <v>28087.7</v>
      </c>
      <c r="Q49" s="17">
        <v>28087.75</v>
      </c>
      <c r="R49" s="13">
        <v>28087.77</v>
      </c>
      <c r="S49" s="13">
        <v>28087.77</v>
      </c>
      <c r="T49" s="13">
        <v>28087.82</v>
      </c>
      <c r="U49" s="13">
        <v>28087.82</v>
      </c>
      <c r="V49" s="13">
        <v>28087.86</v>
      </c>
      <c r="W49" s="13">
        <v>28087.89</v>
      </c>
      <c r="X49" s="13">
        <v>28087.91</v>
      </c>
      <c r="Y49" s="13">
        <v>28087.93</v>
      </c>
      <c r="Z49" s="17">
        <f>28087.96</f>
        <v>28087.96</v>
      </c>
    </row>
    <row r="50" spans="1:27" ht="32.25" thickBot="1" x14ac:dyDescent="0.55000000000000004">
      <c r="A50" s="27"/>
      <c r="B50" s="28"/>
      <c r="C50" s="28"/>
      <c r="D50" s="28"/>
      <c r="E50" s="10" t="s">
        <v>74</v>
      </c>
      <c r="F50" s="20">
        <f t="shared" ref="F50:O50" si="29">SUM(F16:F49)</f>
        <v>21211938.469999999</v>
      </c>
      <c r="G50" s="20">
        <f t="shared" si="29"/>
        <v>21139454.819999997</v>
      </c>
      <c r="H50" s="20">
        <f t="shared" si="29"/>
        <v>19363670.75</v>
      </c>
      <c r="I50" s="20">
        <f t="shared" si="29"/>
        <v>19727514</v>
      </c>
      <c r="J50" s="20">
        <f t="shared" si="29"/>
        <v>20062756.390000004</v>
      </c>
      <c r="K50" s="20">
        <f t="shared" si="29"/>
        <v>20167836.600000001</v>
      </c>
      <c r="L50" s="20">
        <f t="shared" si="29"/>
        <v>22468394.539999999</v>
      </c>
      <c r="M50" s="20">
        <f t="shared" si="29"/>
        <v>23882701.289999995</v>
      </c>
      <c r="N50" s="20">
        <f t="shared" si="29"/>
        <v>23939104.210000005</v>
      </c>
      <c r="O50" s="20">
        <f t="shared" si="29"/>
        <v>24527959.140000004</v>
      </c>
      <c r="P50" s="20">
        <f t="shared" ref="P50:R50" si="30">SUM(P16:P49)</f>
        <v>24601153.890000004</v>
      </c>
      <c r="Q50" s="29">
        <f t="shared" ref="Q50" si="31">SUM(Q16:Q49)</f>
        <v>23814235.760000005</v>
      </c>
      <c r="R50" s="20">
        <f t="shared" si="30"/>
        <v>27537592.719999995</v>
      </c>
      <c r="S50" s="20">
        <f t="shared" ref="S50:T50" si="32">SUM(S16:S49)</f>
        <v>30954229.750000004</v>
      </c>
      <c r="T50" s="20">
        <f t="shared" si="32"/>
        <v>30026768.050000001</v>
      </c>
      <c r="U50" s="20">
        <f t="shared" ref="U50" si="33">SUM(U16:U49)</f>
        <v>32552992.790000003</v>
      </c>
      <c r="V50" s="20">
        <f t="shared" ref="V50" si="34">SUM(V16:V49)</f>
        <v>33154787.279999997</v>
      </c>
      <c r="W50" s="20">
        <f t="shared" ref="W50" si="35">SUM(W16:W49)</f>
        <v>34674803.539999999</v>
      </c>
      <c r="X50" s="20">
        <f t="shared" ref="X50:Y50" si="36">SUM(X16:X49)</f>
        <v>35769405.380000003</v>
      </c>
      <c r="Y50" s="20">
        <f t="shared" si="36"/>
        <v>32059794.120000005</v>
      </c>
      <c r="Z50" s="29">
        <f t="shared" ref="Z50" si="37">SUM(Z16:Z49)</f>
        <v>33994789.280000009</v>
      </c>
    </row>
    <row r="51" spans="1:27" ht="32.25" thickTop="1" x14ac:dyDescent="0.5">
      <c r="A51" s="27"/>
      <c r="B51" s="28"/>
      <c r="C51" s="28"/>
      <c r="D51" s="28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31"/>
      <c r="S51" s="31"/>
      <c r="T51" s="31"/>
      <c r="U51" s="31"/>
      <c r="V51" s="31"/>
      <c r="W51" s="31"/>
      <c r="X51" s="31"/>
      <c r="Y51" s="31"/>
      <c r="Z51" s="32"/>
    </row>
    <row r="52" spans="1:27" ht="32.25" thickBot="1" x14ac:dyDescent="0.55000000000000004">
      <c r="A52" s="33" t="s">
        <v>0</v>
      </c>
      <c r="B52" s="34"/>
      <c r="C52" s="34"/>
      <c r="D52" s="34"/>
      <c r="E52" s="35" t="s">
        <v>60</v>
      </c>
      <c r="F52" s="20">
        <f t="shared" ref="F52:O52" si="38">F7+F50</f>
        <v>36969389.969999999</v>
      </c>
      <c r="G52" s="20">
        <f t="shared" si="38"/>
        <v>36839757.479999997</v>
      </c>
      <c r="H52" s="20">
        <f t="shared" si="38"/>
        <v>31994351.75</v>
      </c>
      <c r="I52" s="20">
        <f t="shared" si="38"/>
        <v>33463603</v>
      </c>
      <c r="J52" s="20">
        <f t="shared" si="38"/>
        <v>32791060.840000004</v>
      </c>
      <c r="K52" s="20">
        <f t="shared" si="38"/>
        <v>33552164.970000003</v>
      </c>
      <c r="L52" s="20">
        <f t="shared" si="38"/>
        <v>31335572.280000001</v>
      </c>
      <c r="M52" s="20">
        <f t="shared" si="38"/>
        <v>32102128.859999996</v>
      </c>
      <c r="N52" s="20">
        <f t="shared" si="38"/>
        <v>30909251.380000003</v>
      </c>
      <c r="O52" s="20">
        <f t="shared" si="38"/>
        <v>29501032.460000005</v>
      </c>
      <c r="P52" s="20">
        <f t="shared" ref="P52:R52" si="39">P7+P50</f>
        <v>30886491.110000003</v>
      </c>
      <c r="Q52" s="29">
        <f t="shared" ref="Q52" si="40">Q7+Q50</f>
        <v>28144124.490000006</v>
      </c>
      <c r="R52" s="20">
        <f t="shared" si="39"/>
        <v>34129997.879999995</v>
      </c>
      <c r="S52" s="20">
        <f t="shared" ref="S52:T52" si="41">S7+S50</f>
        <v>50050830.370000005</v>
      </c>
      <c r="T52" s="20">
        <f t="shared" si="41"/>
        <v>47106496.469999999</v>
      </c>
      <c r="U52" s="20">
        <f t="shared" ref="U52" si="42">U7+U50</f>
        <v>49276826.25</v>
      </c>
      <c r="V52" s="20">
        <f t="shared" ref="V52" si="43">V7+V50</f>
        <v>46481078.659999996</v>
      </c>
      <c r="W52" s="20">
        <f t="shared" ref="W52" si="44">W7+W50</f>
        <v>50187220.210000001</v>
      </c>
      <c r="X52" s="20">
        <f t="shared" ref="X52:Y52" si="45">X7+X50</f>
        <v>65806282.340000004</v>
      </c>
      <c r="Y52" s="20">
        <f t="shared" si="45"/>
        <v>45881705.690000005</v>
      </c>
      <c r="Z52" s="29">
        <f t="shared" ref="Z52" si="46">Z7+Z50</f>
        <v>46767362.930000007</v>
      </c>
    </row>
    <row r="53" spans="1:27" ht="32.25" thickTop="1" x14ac:dyDescent="0.5">
      <c r="A53" s="33"/>
      <c r="B53" s="34"/>
      <c r="C53" s="34"/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6"/>
      <c r="R53" s="33"/>
      <c r="S53" s="33"/>
      <c r="T53" s="33"/>
      <c r="U53" s="33"/>
      <c r="V53" s="33"/>
      <c r="W53" s="33"/>
      <c r="X53" s="33"/>
      <c r="Y53" s="33"/>
      <c r="Z53" s="36"/>
    </row>
    <row r="54" spans="1:27" x14ac:dyDescent="0.5">
      <c r="A54" s="59" t="s">
        <v>124</v>
      </c>
      <c r="B54" s="59"/>
      <c r="C54" s="59"/>
      <c r="D54" s="59"/>
      <c r="E54" s="59"/>
      <c r="F54" s="33"/>
      <c r="G54" s="33"/>
      <c r="H54" s="3"/>
      <c r="I54" s="3"/>
      <c r="J54" s="3"/>
      <c r="K54" s="3"/>
      <c r="L54" s="3"/>
      <c r="M54" s="3"/>
      <c r="N54" s="3"/>
      <c r="O54" s="3"/>
      <c r="P54" s="3"/>
      <c r="Q54" s="37"/>
      <c r="R54" s="3"/>
      <c r="S54" s="3"/>
      <c r="T54" s="3"/>
      <c r="U54" s="3"/>
      <c r="V54" s="3"/>
      <c r="W54" s="3"/>
      <c r="X54" s="3"/>
      <c r="Y54" s="3"/>
      <c r="Z54" s="37"/>
    </row>
    <row r="55" spans="1:27" x14ac:dyDescent="0.5">
      <c r="B55" s="7"/>
      <c r="C55" s="7"/>
      <c r="D55" s="7"/>
      <c r="F55" s="3">
        <v>42155</v>
      </c>
      <c r="G55" s="3">
        <v>42185</v>
      </c>
      <c r="H55" s="3"/>
      <c r="I55" s="3"/>
      <c r="J55" s="3"/>
      <c r="K55" s="3"/>
      <c r="L55" s="3"/>
      <c r="M55" s="3"/>
      <c r="N55" s="3"/>
      <c r="O55" s="3"/>
      <c r="P55" s="3"/>
      <c r="Q55" s="37"/>
      <c r="R55" s="3"/>
      <c r="S55" s="3"/>
      <c r="T55" s="3"/>
      <c r="U55" s="3"/>
      <c r="V55" s="3"/>
      <c r="W55" s="3"/>
      <c r="X55" s="3"/>
      <c r="Y55" s="3"/>
      <c r="Z55" s="37"/>
    </row>
    <row r="56" spans="1:27" x14ac:dyDescent="0.5">
      <c r="A56" s="38" t="s">
        <v>1</v>
      </c>
      <c r="B56" s="11" t="s">
        <v>61</v>
      </c>
      <c r="C56" s="11" t="s">
        <v>3</v>
      </c>
      <c r="D56" s="11"/>
      <c r="E56" s="10" t="s">
        <v>5</v>
      </c>
      <c r="F56" s="39" t="s">
        <v>6</v>
      </c>
      <c r="G56" s="39" t="s">
        <v>6</v>
      </c>
      <c r="H56" s="40"/>
      <c r="I56" s="40"/>
      <c r="J56" s="40"/>
      <c r="K56" s="40"/>
      <c r="L56" s="40"/>
      <c r="M56" s="40"/>
      <c r="N56" s="40"/>
      <c r="O56" s="40"/>
      <c r="P56" s="40"/>
      <c r="Q56" s="41"/>
      <c r="R56" s="40"/>
      <c r="S56" s="40"/>
      <c r="T56" s="40"/>
      <c r="U56" s="40"/>
      <c r="V56" s="40"/>
      <c r="W56" s="40"/>
      <c r="X56" s="40"/>
      <c r="Y56" s="40"/>
      <c r="Z56" s="41"/>
    </row>
    <row r="57" spans="1:27" x14ac:dyDescent="0.5">
      <c r="A57" s="14" t="s">
        <v>27</v>
      </c>
      <c r="B57" s="15" t="s">
        <v>30</v>
      </c>
      <c r="C57" s="15" t="s">
        <v>27</v>
      </c>
      <c r="D57" s="15"/>
      <c r="E57" s="16" t="s">
        <v>62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1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1">
        <v>0</v>
      </c>
    </row>
    <row r="58" spans="1:27" x14ac:dyDescent="0.5">
      <c r="A58" s="14" t="s">
        <v>22</v>
      </c>
      <c r="B58" s="15" t="s">
        <v>63</v>
      </c>
      <c r="C58" s="15" t="s">
        <v>24</v>
      </c>
      <c r="D58" s="15"/>
      <c r="E58" s="16" t="s">
        <v>64</v>
      </c>
      <c r="F58" s="40">
        <v>1623313.35</v>
      </c>
      <c r="G58" s="40">
        <v>749363.82</v>
      </c>
      <c r="H58" s="40">
        <v>1263374</v>
      </c>
      <c r="I58" s="40">
        <v>2255693</v>
      </c>
      <c r="J58" s="40">
        <v>979126.91</v>
      </c>
      <c r="K58" s="40">
        <v>2051453.65</v>
      </c>
      <c r="L58" s="40">
        <v>2755065.72</v>
      </c>
      <c r="M58" s="40">
        <f>3737899.35-2800000</f>
        <v>937899.35000000009</v>
      </c>
      <c r="N58" s="40">
        <v>1197870.8500000001</v>
      </c>
      <c r="O58" s="40">
        <f>1815622.38-700000</f>
        <v>1115622.3799999999</v>
      </c>
      <c r="P58" s="40">
        <f>2397093.64-1500000</f>
        <v>897093.64000000013</v>
      </c>
      <c r="Q58" s="41">
        <v>3030461.89</v>
      </c>
      <c r="R58" s="40">
        <f>3332719.66</f>
        <v>3332719.66</v>
      </c>
      <c r="S58" s="40">
        <v>0</v>
      </c>
      <c r="T58" s="40">
        <v>0</v>
      </c>
      <c r="U58" s="40">
        <v>0</v>
      </c>
      <c r="V58" s="40">
        <v>0</v>
      </c>
      <c r="W58" s="40">
        <v>2767934.57</v>
      </c>
      <c r="X58" s="40">
        <v>3291019</v>
      </c>
      <c r="Y58" s="40">
        <v>3878582.92</v>
      </c>
      <c r="Z58" s="41">
        <f>4397481.27</f>
        <v>4397481.2699999996</v>
      </c>
      <c r="AA58" s="6" t="s">
        <v>138</v>
      </c>
    </row>
    <row r="59" spans="1:27" x14ac:dyDescent="0.5">
      <c r="A59" s="14">
        <v>230</v>
      </c>
      <c r="B59" s="15" t="s">
        <v>78</v>
      </c>
      <c r="C59" s="15" t="s">
        <v>71</v>
      </c>
      <c r="D59" s="15"/>
      <c r="E59" s="16" t="s">
        <v>72</v>
      </c>
      <c r="F59" s="40">
        <v>182832.66</v>
      </c>
      <c r="G59" s="40">
        <v>90933.38</v>
      </c>
      <c r="H59" s="40">
        <v>83759</v>
      </c>
      <c r="I59" s="40">
        <v>49967</v>
      </c>
      <c r="J59" s="40">
        <v>0</v>
      </c>
      <c r="K59" s="40">
        <v>12521.23</v>
      </c>
      <c r="L59" s="40">
        <v>0</v>
      </c>
      <c r="M59" s="40">
        <v>47812.45</v>
      </c>
      <c r="N59" s="40">
        <v>91838.76</v>
      </c>
      <c r="O59" s="40">
        <v>160059.06</v>
      </c>
      <c r="P59" s="40">
        <v>87602.32</v>
      </c>
      <c r="Q59" s="41">
        <v>92107.23</v>
      </c>
      <c r="R59" s="40">
        <v>122759.75</v>
      </c>
      <c r="S59" s="40">
        <v>46130.66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1">
        <v>0</v>
      </c>
    </row>
    <row r="60" spans="1:27" x14ac:dyDescent="0.5">
      <c r="A60" s="14">
        <v>264</v>
      </c>
      <c r="B60" s="15" t="s">
        <v>15</v>
      </c>
      <c r="C60" s="15" t="s">
        <v>77</v>
      </c>
      <c r="D60" s="15"/>
      <c r="E60" s="16" t="s">
        <v>77</v>
      </c>
      <c r="F60" s="40">
        <v>0</v>
      </c>
      <c r="G60" s="40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f>-391702.35+391702.35</f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77327.19</v>
      </c>
      <c r="U60" s="41">
        <v>381922.75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</row>
    <row r="61" spans="1:27" x14ac:dyDescent="0.5">
      <c r="A61" s="14" t="s">
        <v>33</v>
      </c>
      <c r="B61" s="15" t="s">
        <v>65</v>
      </c>
      <c r="C61" s="15" t="s">
        <v>35</v>
      </c>
      <c r="D61" s="15"/>
      <c r="E61" s="16" t="s">
        <v>66</v>
      </c>
      <c r="F61" s="40">
        <v>691433.63</v>
      </c>
      <c r="G61" s="40">
        <v>740397.2</v>
      </c>
      <c r="H61" s="40">
        <v>625884</v>
      </c>
      <c r="I61" s="40">
        <v>641609</v>
      </c>
      <c r="J61" s="40">
        <v>328285.61</v>
      </c>
      <c r="K61" s="40">
        <v>519202.64</v>
      </c>
      <c r="L61" s="40">
        <v>401171.4</v>
      </c>
      <c r="M61" s="40">
        <v>497793.9</v>
      </c>
      <c r="N61" s="40">
        <v>446377.08</v>
      </c>
      <c r="O61" s="40">
        <v>457438.24</v>
      </c>
      <c r="P61" s="40">
        <v>457330.28</v>
      </c>
      <c r="Q61" s="41">
        <v>504104.75</v>
      </c>
      <c r="R61" s="40">
        <v>306074.95</v>
      </c>
      <c r="S61" s="40">
        <v>448430.68</v>
      </c>
      <c r="T61" s="40">
        <v>391655.78</v>
      </c>
      <c r="U61" s="40">
        <v>132247.16</v>
      </c>
      <c r="V61" s="40">
        <v>361430.88</v>
      </c>
      <c r="W61" s="40">
        <v>43450.11</v>
      </c>
      <c r="X61" s="40">
        <v>171114.69</v>
      </c>
      <c r="Y61" s="40">
        <v>309360.02</v>
      </c>
      <c r="Z61" s="41">
        <f>146381.36</f>
        <v>146381.35999999999</v>
      </c>
      <c r="AA61" s="6"/>
    </row>
    <row r="62" spans="1:27" x14ac:dyDescent="0.5">
      <c r="A62" s="14" t="s">
        <v>19</v>
      </c>
      <c r="B62" s="15" t="s">
        <v>67</v>
      </c>
      <c r="C62" s="15" t="s">
        <v>21</v>
      </c>
      <c r="D62" s="15"/>
      <c r="E62" s="16" t="s">
        <v>68</v>
      </c>
      <c r="F62" s="40">
        <v>1030291.01</v>
      </c>
      <c r="G62" s="40">
        <v>0</v>
      </c>
      <c r="H62" s="40">
        <v>0</v>
      </c>
      <c r="I62" s="40">
        <v>0</v>
      </c>
      <c r="J62" s="40">
        <v>1115588.98</v>
      </c>
      <c r="K62" s="40">
        <v>0</v>
      </c>
      <c r="L62" s="40">
        <v>937976.74</v>
      </c>
      <c r="M62" s="40">
        <f>192390.74-192390.74</f>
        <v>0</v>
      </c>
      <c r="N62" s="40">
        <v>0</v>
      </c>
      <c r="O62" s="40">
        <v>503251</v>
      </c>
      <c r="P62" s="40">
        <v>0</v>
      </c>
      <c r="Q62" s="41">
        <v>845199.28</v>
      </c>
      <c r="R62" s="40">
        <v>0</v>
      </c>
      <c r="S62" s="40">
        <v>0</v>
      </c>
      <c r="T62" s="40">
        <v>603461.6</v>
      </c>
      <c r="U62" s="40">
        <v>0</v>
      </c>
      <c r="V62" s="40">
        <v>303252.57</v>
      </c>
      <c r="W62" s="40">
        <v>0</v>
      </c>
      <c r="X62" s="40">
        <v>0</v>
      </c>
      <c r="Y62" s="40">
        <v>0</v>
      </c>
      <c r="Z62" s="41">
        <v>0</v>
      </c>
      <c r="AA62" s="6"/>
    </row>
    <row r="63" spans="1:27" x14ac:dyDescent="0.5">
      <c r="A63" s="42">
        <v>245460480</v>
      </c>
      <c r="B63" s="15" t="s">
        <v>15</v>
      </c>
      <c r="C63" s="15" t="s">
        <v>75</v>
      </c>
      <c r="D63" s="15"/>
      <c r="E63" s="16" t="s">
        <v>76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64866.81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139547.24</v>
      </c>
      <c r="V63" s="41">
        <v>0</v>
      </c>
      <c r="W63" s="41">
        <f>-192204.85-3312.74+606440.46</f>
        <v>410922.87</v>
      </c>
      <c r="X63" s="41">
        <f>-130260.99+92725.5+91689.89</f>
        <v>54154.399999999994</v>
      </c>
      <c r="Y63" s="41">
        <v>0</v>
      </c>
      <c r="Z63" s="41">
        <v>0</v>
      </c>
      <c r="AA63" s="1" t="s">
        <v>0</v>
      </c>
    </row>
    <row r="64" spans="1:27" x14ac:dyDescent="0.5">
      <c r="A64" s="14">
        <v>483</v>
      </c>
      <c r="B64" s="15" t="s">
        <v>100</v>
      </c>
      <c r="C64" s="15" t="s">
        <v>18</v>
      </c>
      <c r="D64" s="15"/>
      <c r="E64" s="16" t="s">
        <v>116</v>
      </c>
      <c r="F64" s="40">
        <v>0</v>
      </c>
      <c r="G64" s="40">
        <v>0</v>
      </c>
      <c r="H64" s="40">
        <v>455177</v>
      </c>
      <c r="I64" s="40">
        <v>402309</v>
      </c>
      <c r="J64" s="40">
        <v>413988.61</v>
      </c>
      <c r="K64" s="40">
        <v>550309.86</v>
      </c>
      <c r="L64" s="40">
        <v>803362</v>
      </c>
      <c r="M64" s="40">
        <v>452105.86</v>
      </c>
      <c r="N64" s="40">
        <v>398446.66</v>
      </c>
      <c r="O64" s="40">
        <v>489182.38</v>
      </c>
      <c r="P64" s="40">
        <v>518666.84</v>
      </c>
      <c r="Q64" s="41">
        <v>381130.44</v>
      </c>
      <c r="R64" s="40">
        <v>146346.59</v>
      </c>
      <c r="S64" s="40">
        <v>220953.72</v>
      </c>
      <c r="T64" s="40">
        <v>320197.08</v>
      </c>
      <c r="U64" s="40">
        <v>274640.28000000003</v>
      </c>
      <c r="V64" s="40">
        <v>507864.86</v>
      </c>
      <c r="W64" s="40">
        <v>599829.54</v>
      </c>
      <c r="X64" s="40">
        <v>165923.60999999999</v>
      </c>
      <c r="Y64" s="40">
        <v>137110.92000000001</v>
      </c>
      <c r="Z64" s="41">
        <v>167125.01999999999</v>
      </c>
      <c r="AA64" s="6" t="s">
        <v>123</v>
      </c>
    </row>
    <row r="65" spans="1:27" x14ac:dyDescent="0.5">
      <c r="A65" s="14">
        <v>603</v>
      </c>
      <c r="B65" s="15"/>
      <c r="C65" s="15" t="s">
        <v>45</v>
      </c>
      <c r="D65" s="15"/>
      <c r="E65" s="16" t="s">
        <v>45</v>
      </c>
      <c r="F65" s="40">
        <v>185764.06</v>
      </c>
      <c r="G65" s="40">
        <v>227564.01</v>
      </c>
      <c r="H65" s="40">
        <v>173700</v>
      </c>
      <c r="I65" s="40">
        <v>173700</v>
      </c>
      <c r="J65" s="40">
        <v>205330.65</v>
      </c>
      <c r="K65" s="40">
        <v>211500.36</v>
      </c>
      <c r="L65" s="40">
        <v>240108.73</v>
      </c>
      <c r="M65" s="40">
        <v>264666.7</v>
      </c>
      <c r="N65" s="40">
        <v>286254.23</v>
      </c>
      <c r="O65" s="40">
        <v>339624.13</v>
      </c>
      <c r="P65" s="40">
        <f>339624.13-359</f>
        <v>339265.13</v>
      </c>
      <c r="Q65" s="41">
        <v>99375.61</v>
      </c>
      <c r="R65" s="40">
        <v>72332.509999999995</v>
      </c>
      <c r="S65" s="40">
        <v>17411.16</v>
      </c>
      <c r="T65" s="40">
        <v>188736.33</v>
      </c>
      <c r="U65" s="40">
        <v>217076.68</v>
      </c>
      <c r="V65" s="40">
        <v>221771.68</v>
      </c>
      <c r="W65" s="40">
        <v>240706.07</v>
      </c>
      <c r="X65" s="40">
        <v>158332.35999999999</v>
      </c>
      <c r="Y65" s="40">
        <v>168197.08</v>
      </c>
      <c r="Z65" s="41">
        <v>188657.39</v>
      </c>
      <c r="AA65" s="6" t="s">
        <v>141</v>
      </c>
    </row>
    <row r="66" spans="1:27" ht="32.25" thickBot="1" x14ac:dyDescent="0.55000000000000004">
      <c r="A66" s="14"/>
      <c r="B66" s="15"/>
      <c r="C66" s="15"/>
      <c r="D66" s="15"/>
      <c r="E66" s="10" t="s">
        <v>69</v>
      </c>
      <c r="F66" s="40">
        <v>0</v>
      </c>
      <c r="G66" s="40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4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4">
        <v>0</v>
      </c>
    </row>
    <row r="67" spans="1:27" ht="33" thickTop="1" thickBot="1" x14ac:dyDescent="0.55000000000000004">
      <c r="A67" s="33" t="s">
        <v>70</v>
      </c>
      <c r="B67" s="34"/>
      <c r="C67" s="34"/>
      <c r="D67" s="34"/>
      <c r="E67" s="10" t="s">
        <v>60</v>
      </c>
      <c r="F67" s="43">
        <f t="shared" ref="F67" si="47">SUM(F57:F66)</f>
        <v>3713634.7100000004</v>
      </c>
      <c r="G67" s="43">
        <f t="shared" ref="G67:I67" si="48">SUM(G57:G66)</f>
        <v>1808258.41</v>
      </c>
      <c r="H67" s="43">
        <f t="shared" si="48"/>
        <v>2601894</v>
      </c>
      <c r="I67" s="43">
        <f t="shared" si="48"/>
        <v>3523278</v>
      </c>
      <c r="J67" s="43">
        <f t="shared" ref="J67:K67" si="49">SUM(J57:J66)</f>
        <v>3042320.76</v>
      </c>
      <c r="K67" s="43">
        <f t="shared" si="49"/>
        <v>3344987.7399999998</v>
      </c>
      <c r="L67" s="43">
        <f t="shared" ref="L67:M67" si="50">SUM(L57:L66)</f>
        <v>5202551.4000000004</v>
      </c>
      <c r="M67" s="43">
        <f t="shared" si="50"/>
        <v>2200278.2600000002</v>
      </c>
      <c r="N67" s="43">
        <f t="shared" ref="N67" si="51">SUM(N57:N66)</f>
        <v>2420787.58</v>
      </c>
      <c r="O67" s="43">
        <f t="shared" ref="O67:P67" si="52">SUM(O57:O66)</f>
        <v>3065177.1899999995</v>
      </c>
      <c r="P67" s="43">
        <f t="shared" si="52"/>
        <v>2299958.2100000004</v>
      </c>
      <c r="Q67" s="44">
        <f t="shared" ref="Q67" si="53">SUM(Q57:Q66)</f>
        <v>4952379.2000000011</v>
      </c>
      <c r="R67" s="43">
        <f t="shared" ref="R67:S67" si="54">SUM(R57:R66)</f>
        <v>3980233.46</v>
      </c>
      <c r="S67" s="43">
        <f t="shared" si="54"/>
        <v>732926.22</v>
      </c>
      <c r="T67" s="43">
        <f t="shared" ref="T67:U67" si="55">SUM(T57:T66)</f>
        <v>1581377.9800000002</v>
      </c>
      <c r="U67" s="43">
        <f t="shared" si="55"/>
        <v>1145434.1100000001</v>
      </c>
      <c r="V67" s="43">
        <f t="shared" ref="V67" si="56">SUM(V57:V66)</f>
        <v>1394319.99</v>
      </c>
      <c r="W67" s="43">
        <f t="shared" ref="W67" si="57">SUM(W57:W66)</f>
        <v>4062843.1599999997</v>
      </c>
      <c r="X67" s="43">
        <f t="shared" ref="X67:Y67" si="58">SUM(X57:X66)</f>
        <v>3840544.0599999996</v>
      </c>
      <c r="Y67" s="43">
        <f t="shared" si="58"/>
        <v>4493250.9400000004</v>
      </c>
      <c r="Z67" s="44">
        <f t="shared" ref="Z67" si="59">SUM(Z57:Z66)</f>
        <v>4899645.0399999991</v>
      </c>
    </row>
    <row r="68" spans="1:27" ht="32.25" thickTop="1" x14ac:dyDescent="0.5"/>
    <row r="69" spans="1:27" s="2" customFormat="1" x14ac:dyDescent="0.5">
      <c r="A69" s="6"/>
      <c r="B69" s="45"/>
      <c r="C69" s="4"/>
      <c r="D69" s="4"/>
      <c r="E69" s="4"/>
      <c r="F69" s="6"/>
      <c r="G69" s="6"/>
      <c r="H69" s="6"/>
      <c r="I69" s="4"/>
      <c r="J69" s="4"/>
      <c r="K69" s="4"/>
      <c r="L69" s="4"/>
      <c r="M69" s="4"/>
      <c r="N69" s="4"/>
      <c r="O69" s="4"/>
      <c r="P69" s="4"/>
      <c r="Q69" s="5"/>
      <c r="R69" s="4"/>
      <c r="S69" s="4"/>
      <c r="T69" s="4"/>
      <c r="U69" s="4"/>
      <c r="V69" s="4"/>
      <c r="W69" s="4"/>
      <c r="X69" s="4"/>
      <c r="Y69" s="4"/>
      <c r="Z69" s="5"/>
    </row>
    <row r="70" spans="1:27" s="2" customFormat="1" x14ac:dyDescent="0.5">
      <c r="A70" s="6"/>
      <c r="B70" s="45"/>
      <c r="C70" s="4"/>
      <c r="D70" s="4"/>
      <c r="E70" s="4"/>
      <c r="F70" s="6"/>
      <c r="G70" s="6"/>
      <c r="H70" s="6"/>
      <c r="I70" s="4"/>
      <c r="J70" s="4"/>
      <c r="K70" s="4"/>
      <c r="L70" s="4"/>
      <c r="M70" s="4"/>
      <c r="N70" s="4"/>
      <c r="O70" s="4"/>
      <c r="P70" s="4"/>
      <c r="Q70" s="5"/>
      <c r="R70" s="4"/>
      <c r="S70" s="4"/>
      <c r="T70" s="4"/>
      <c r="U70" s="4"/>
      <c r="V70" s="4"/>
      <c r="W70" s="4"/>
      <c r="X70" s="4"/>
      <c r="Y70" s="4"/>
      <c r="Z70" s="5"/>
    </row>
    <row r="71" spans="1:27" s="2" customFormat="1" ht="75" customHeight="1" x14ac:dyDescent="0.5">
      <c r="A71" s="6" t="s">
        <v>109</v>
      </c>
      <c r="B71" s="60" t="s">
        <v>140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4"/>
      <c r="W71" s="4"/>
      <c r="X71" s="4"/>
      <c r="Y71" s="4"/>
      <c r="Z71" s="5"/>
    </row>
    <row r="72" spans="1:27" s="2" customFormat="1" x14ac:dyDescent="0.5">
      <c r="A72" s="6"/>
      <c r="B72" s="45"/>
      <c r="C72" s="4"/>
      <c r="D72" s="4"/>
      <c r="E72" s="4"/>
      <c r="F72" s="6"/>
      <c r="G72" s="6"/>
      <c r="H72" s="6"/>
      <c r="I72" s="4"/>
      <c r="J72" s="4"/>
      <c r="K72" s="4"/>
      <c r="L72" s="4"/>
      <c r="M72" s="4"/>
      <c r="N72" s="4"/>
      <c r="O72" s="4"/>
      <c r="P72" s="4"/>
      <c r="Q72" s="5"/>
      <c r="R72" s="4"/>
      <c r="S72" s="4"/>
      <c r="T72" s="4"/>
      <c r="U72" s="4"/>
      <c r="V72" s="4"/>
      <c r="W72" s="4"/>
      <c r="X72" s="4"/>
      <c r="Y72" s="4"/>
      <c r="Z72" s="5"/>
    </row>
    <row r="73" spans="1:27" s="2" customFormat="1" x14ac:dyDescent="0.5">
      <c r="A73" s="6" t="s">
        <v>123</v>
      </c>
      <c r="B73" s="49" t="s">
        <v>137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"/>
      <c r="V73" s="4"/>
      <c r="W73" s="4"/>
      <c r="X73" s="4"/>
      <c r="Y73" s="4"/>
      <c r="Z73" s="5"/>
    </row>
    <row r="74" spans="1:27" s="2" customFormat="1" x14ac:dyDescent="0.5">
      <c r="A74" s="6"/>
      <c r="B74" s="45"/>
      <c r="C74" s="4"/>
      <c r="D74" s="4"/>
      <c r="E74" s="4"/>
      <c r="F74" s="6"/>
      <c r="G74" s="6"/>
      <c r="H74" s="6"/>
      <c r="I74" s="4"/>
      <c r="J74" s="4"/>
      <c r="K74" s="4"/>
      <c r="L74" s="4"/>
      <c r="M74" s="4"/>
      <c r="N74" s="4"/>
      <c r="O74" s="4"/>
      <c r="P74" s="4"/>
      <c r="Q74" s="5"/>
      <c r="R74" s="4"/>
      <c r="S74" s="4"/>
      <c r="T74" s="4"/>
      <c r="U74" s="4"/>
      <c r="V74" s="4"/>
      <c r="W74" s="4"/>
      <c r="X74" s="4"/>
      <c r="Y74" s="4"/>
      <c r="Z74" s="5"/>
    </row>
    <row r="75" spans="1:27" x14ac:dyDescent="0.5">
      <c r="A75" s="46" t="s">
        <v>138</v>
      </c>
      <c r="B75" s="55" t="s">
        <v>139</v>
      </c>
      <c r="C75" s="4"/>
      <c r="D75" s="4"/>
      <c r="E75" s="47"/>
    </row>
    <row r="76" spans="1:27" x14ac:dyDescent="0.5">
      <c r="B76" s="45"/>
      <c r="C76" s="4"/>
      <c r="D76" s="4"/>
      <c r="E76" s="4"/>
    </row>
    <row r="77" spans="1:27" x14ac:dyDescent="0.5">
      <c r="A77" s="6" t="s">
        <v>141</v>
      </c>
      <c r="B77" s="60" t="s">
        <v>142</v>
      </c>
      <c r="C77" s="60"/>
      <c r="D77" s="60"/>
      <c r="E77" s="60"/>
    </row>
    <row r="78" spans="1:27" x14ac:dyDescent="0.5">
      <c r="C78" s="4"/>
    </row>
  </sheetData>
  <mergeCells count="5">
    <mergeCell ref="A1:E1"/>
    <mergeCell ref="A2:E2"/>
    <mergeCell ref="A54:E54"/>
    <mergeCell ref="B71:U71"/>
    <mergeCell ref="B77:E77"/>
  </mergeCells>
  <pageMargins left="0.2" right="0.2" top="0.25" bottom="0.5" header="0.3" footer="0.3"/>
  <pageSetup paperSize="3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2017-02-24T13:55:52Z</cp:lastPrinted>
  <dcterms:created xsi:type="dcterms:W3CDTF">2014-10-16T13:30:14Z</dcterms:created>
  <dcterms:modified xsi:type="dcterms:W3CDTF">2017-02-24T15:43:45Z</dcterms:modified>
</cp:coreProperties>
</file>