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weep Account Report\FY21\"/>
    </mc:Choice>
  </mc:AlternateContent>
  <bookViews>
    <workbookView xWindow="0" yWindow="300" windowWidth="20700" windowHeight="9090"/>
  </bookViews>
  <sheets>
    <sheet name="Sheet1" sheetId="1" r:id="rId1"/>
  </sheets>
  <definedNames>
    <definedName name="_xlnm._FilterDatabase" localSheetId="0" hidden="1">Sheet1!$B$1:$F$8</definedName>
  </definedNames>
  <calcPr calcId="162913"/>
</workbook>
</file>

<file path=xl/calcChain.xml><?xml version="1.0" encoding="utf-8"?>
<calcChain xmlns="http://schemas.openxmlformats.org/spreadsheetml/2006/main">
  <c r="BQ5" i="1" l="1"/>
  <c r="BQ26" i="1"/>
  <c r="BQ18" i="1"/>
  <c r="BQ20" i="1"/>
  <c r="BQ27" i="1"/>
  <c r="BQ40" i="1"/>
  <c r="BQ32" i="1"/>
  <c r="BQ31" i="1"/>
  <c r="BQ30" i="1"/>
  <c r="BQ29" i="1"/>
  <c r="BQ28" i="1"/>
  <c r="BQ21" i="1"/>
  <c r="BQ68" i="1" l="1"/>
  <c r="BQ44" i="1"/>
  <c r="BQ39" i="1"/>
  <c r="BQ38" i="1"/>
  <c r="BQ34" i="1"/>
  <c r="BQ25" i="1"/>
  <c r="BQ24" i="1"/>
  <c r="BQ23" i="1"/>
  <c r="BQ22" i="1"/>
  <c r="BQ51" i="1"/>
  <c r="BQ10" i="1"/>
  <c r="BQ6" i="1"/>
  <c r="BQ8" i="1"/>
  <c r="BQ53" i="1" l="1"/>
  <c r="BQ12" i="1"/>
  <c r="BQ9" i="1" s="1"/>
  <c r="BP5" i="1"/>
  <c r="BP26" i="1"/>
  <c r="BP18" i="1" l="1"/>
  <c r="BP20" i="1" l="1"/>
  <c r="BP27" i="1" l="1"/>
  <c r="BP40" i="1"/>
  <c r="BP28" i="1"/>
  <c r="BP21" i="1"/>
  <c r="BP68" i="1"/>
  <c r="BP44" i="1"/>
  <c r="BP39" i="1"/>
  <c r="BP38" i="1"/>
  <c r="BP34" i="1"/>
  <c r="BP25" i="1"/>
  <c r="BP24" i="1"/>
  <c r="BP23" i="1"/>
  <c r="BP22" i="1"/>
  <c r="BP10" i="1"/>
  <c r="BP6" i="1"/>
  <c r="BP8" i="1"/>
  <c r="BP51" i="1" l="1"/>
  <c r="BP53" i="1" s="1"/>
  <c r="BP12" i="1"/>
  <c r="BP9" i="1" s="1"/>
  <c r="BO5" i="1"/>
  <c r="BO18" i="1"/>
  <c r="BO20" i="1"/>
  <c r="BO27" i="1"/>
  <c r="BO40" i="1"/>
  <c r="BO36" i="1"/>
  <c r="BO33" i="1"/>
  <c r="BO31" i="1"/>
  <c r="BO29" i="1"/>
  <c r="BO28" i="1"/>
  <c r="BO26" i="1"/>
  <c r="BO24" i="1"/>
  <c r="BO68" i="1" l="1"/>
  <c r="BO44" i="1"/>
  <c r="BO41" i="1"/>
  <c r="BO39" i="1"/>
  <c r="BO38" i="1"/>
  <c r="BO34" i="1"/>
  <c r="BO25" i="1"/>
  <c r="BO23" i="1"/>
  <c r="BO22" i="1"/>
  <c r="BO21" i="1"/>
  <c r="BO10" i="1"/>
  <c r="BO6" i="1"/>
  <c r="BO8" i="1"/>
  <c r="BO51" i="1" l="1"/>
  <c r="BO12" i="1"/>
  <c r="BO9" i="1" s="1"/>
  <c r="BO53" i="1"/>
  <c r="BN5" i="1"/>
  <c r="BN18" i="1"/>
  <c r="BN20" i="1"/>
  <c r="BN27" i="1"/>
  <c r="BN50" i="1"/>
  <c r="BN48" i="1"/>
  <c r="BN41" i="1"/>
  <c r="BN40" i="1"/>
  <c r="BN36" i="1"/>
  <c r="BN33" i="1"/>
  <c r="BN32" i="1"/>
  <c r="BN31" i="1"/>
  <c r="BN30" i="1"/>
  <c r="BN29" i="1"/>
  <c r="BN28" i="1"/>
  <c r="BN26" i="1"/>
  <c r="BN21" i="1"/>
  <c r="BN68" i="1" l="1"/>
  <c r="BN44" i="1"/>
  <c r="BN39" i="1"/>
  <c r="BN38" i="1"/>
  <c r="BN34" i="1"/>
  <c r="BN25" i="1"/>
  <c r="BN51" i="1" s="1"/>
  <c r="BN24" i="1"/>
  <c r="BN23" i="1"/>
  <c r="BN22" i="1"/>
  <c r="BN10" i="1"/>
  <c r="BN6" i="1"/>
  <c r="BN8" i="1"/>
  <c r="BN53" i="1" l="1"/>
  <c r="BN12" i="1"/>
  <c r="BN9" i="1" s="1"/>
  <c r="BM5" i="1"/>
  <c r="BM18" i="1"/>
  <c r="BM20" i="1" l="1"/>
  <c r="BM27" i="1" l="1"/>
  <c r="BM49" i="1"/>
  <c r="BM40" i="1"/>
  <c r="BM33" i="1"/>
  <c r="BM31" i="1"/>
  <c r="BM30" i="1"/>
  <c r="BM29" i="1"/>
  <c r="BM26" i="1"/>
  <c r="BM21" i="1"/>
  <c r="BM68" i="1" l="1"/>
  <c r="BM44" i="1"/>
  <c r="BM39" i="1"/>
  <c r="BM38" i="1"/>
  <c r="BM34" i="1"/>
  <c r="BM25" i="1"/>
  <c r="BM24" i="1"/>
  <c r="BM23" i="1"/>
  <c r="BM22" i="1"/>
  <c r="BM10" i="1"/>
  <c r="BM6" i="1"/>
  <c r="BM8" i="1" s="1"/>
  <c r="BM12" i="1" s="1"/>
  <c r="BM9" i="1" s="1"/>
  <c r="BM51" i="1" l="1"/>
  <c r="BM53" i="1" s="1"/>
  <c r="BL5" i="1"/>
  <c r="BL18" i="1"/>
  <c r="BL20" i="1" l="1"/>
  <c r="BL27" i="1" l="1"/>
  <c r="BL68" i="1" l="1"/>
  <c r="BL50" i="1"/>
  <c r="BL49" i="1"/>
  <c r="BL44" i="1"/>
  <c r="BL40" i="1"/>
  <c r="BL39" i="1"/>
  <c r="BL38" i="1"/>
  <c r="BL34" i="1"/>
  <c r="BL51" i="1" s="1"/>
  <c r="BL25" i="1"/>
  <c r="BL24" i="1"/>
  <c r="BL23" i="1"/>
  <c r="BL22" i="1"/>
  <c r="BL21" i="1"/>
  <c r="BL10" i="1"/>
  <c r="BL6" i="1"/>
  <c r="BL8" i="1"/>
  <c r="BL53" i="1" l="1"/>
  <c r="BL12" i="1"/>
  <c r="BL9" i="1" s="1"/>
  <c r="BJ6" i="1"/>
  <c r="BI68" i="1" l="1"/>
  <c r="BK68" i="1"/>
  <c r="BJ68" i="1"/>
  <c r="BK27" i="1"/>
  <c r="BK50" i="1"/>
  <c r="BK49" i="1"/>
  <c r="BK48" i="1"/>
  <c r="BK42" i="1"/>
  <c r="BK41" i="1"/>
  <c r="BK40" i="1"/>
  <c r="BK36" i="1"/>
  <c r="BK33" i="1"/>
  <c r="BK32" i="1"/>
  <c r="BK31" i="1"/>
  <c r="BK30" i="1"/>
  <c r="BK29" i="1"/>
  <c r="BK28" i="1"/>
  <c r="BK26" i="1"/>
  <c r="BK21" i="1"/>
  <c r="BK20" i="1"/>
  <c r="BK5" i="1"/>
  <c r="BK44" i="1"/>
  <c r="BK39" i="1"/>
  <c r="BK38" i="1"/>
  <c r="BK34" i="1"/>
  <c r="BK25" i="1"/>
  <c r="BK24" i="1"/>
  <c r="BK23" i="1"/>
  <c r="BK22" i="1"/>
  <c r="BK10" i="1"/>
  <c r="BK6" i="1"/>
  <c r="BK8" i="1" l="1"/>
  <c r="BK51" i="1"/>
  <c r="BK53" i="1" s="1"/>
  <c r="BK12" i="1"/>
  <c r="BK9" i="1" s="1"/>
  <c r="BJ26" i="1"/>
  <c r="BJ5" i="1"/>
  <c r="BJ20" i="1"/>
  <c r="BJ27" i="1" l="1"/>
  <c r="BJ40" i="1"/>
  <c r="BJ44" i="1"/>
  <c r="BJ39" i="1"/>
  <c r="BJ38" i="1"/>
  <c r="BJ34" i="1"/>
  <c r="BJ25" i="1"/>
  <c r="BJ24" i="1"/>
  <c r="BJ23" i="1"/>
  <c r="BJ22" i="1"/>
  <c r="BJ10" i="1"/>
  <c r="BJ8" i="1"/>
  <c r="BJ51" i="1" l="1"/>
  <c r="BJ53" i="1" s="1"/>
  <c r="BJ12" i="1"/>
  <c r="BJ9" i="1" s="1"/>
  <c r="BI5" i="1"/>
  <c r="BI18" i="1" l="1"/>
  <c r="BI26" i="1"/>
  <c r="BI20" i="1" l="1"/>
  <c r="BH5" i="1"/>
  <c r="BI27" i="1"/>
  <c r="BI40" i="1"/>
  <c r="BI44" i="1"/>
  <c r="BI39" i="1"/>
  <c r="BI38" i="1"/>
  <c r="BI34" i="1"/>
  <c r="BI25" i="1"/>
  <c r="BI24" i="1"/>
  <c r="BI23" i="1"/>
  <c r="BI22" i="1"/>
  <c r="BI10" i="1"/>
  <c r="BI51" i="1" l="1"/>
  <c r="BI8" i="1"/>
  <c r="BI12" i="1" s="1"/>
  <c r="BI9" i="1" s="1"/>
  <c r="BH26" i="1"/>
  <c r="BH18" i="1"/>
  <c r="BH20" i="1"/>
  <c r="BH27" i="1"/>
  <c r="BH40" i="1"/>
  <c r="BI53" i="1" l="1"/>
  <c r="BH45" i="1"/>
  <c r="BH7" i="1"/>
  <c r="BH68" i="1" l="1"/>
  <c r="BH44" i="1"/>
  <c r="BH39" i="1"/>
  <c r="BH38" i="1"/>
  <c r="BH34" i="1"/>
  <c r="BH25" i="1"/>
  <c r="BH24" i="1"/>
  <c r="BH23" i="1"/>
  <c r="BH22" i="1"/>
  <c r="BH10" i="1"/>
  <c r="BH8" i="1"/>
  <c r="BH51" i="1" l="1"/>
  <c r="BH53" i="1" s="1"/>
  <c r="BH12" i="1"/>
  <c r="BH9" i="1" s="1"/>
  <c r="BG5" i="1"/>
  <c r="BG6" i="1"/>
  <c r="BF6" i="1"/>
  <c r="BG58" i="1" l="1"/>
  <c r="BG7" i="1" l="1"/>
  <c r="BG20" i="1" l="1"/>
  <c r="BG26" i="1"/>
  <c r="BG18" i="1"/>
  <c r="BG27" i="1"/>
  <c r="BG40" i="1"/>
  <c r="BG68" i="1" l="1"/>
  <c r="BG44" i="1"/>
  <c r="BG39" i="1"/>
  <c r="BG38" i="1"/>
  <c r="BG34" i="1"/>
  <c r="BG25" i="1"/>
  <c r="BG24" i="1"/>
  <c r="BG23" i="1"/>
  <c r="BG22" i="1"/>
  <c r="BG10" i="1"/>
  <c r="BG8" i="1"/>
  <c r="BG51" i="1" l="1"/>
  <c r="BG53" i="1" s="1"/>
  <c r="BG12" i="1"/>
  <c r="BG9" i="1" s="1"/>
  <c r="BF5" i="1"/>
  <c r="BF18" i="1" l="1"/>
  <c r="BF26" i="1"/>
  <c r="BF20" i="1"/>
  <c r="BF27" i="1" l="1"/>
  <c r="BF40" i="1"/>
  <c r="BF28" i="1"/>
  <c r="BF68" i="1"/>
  <c r="BF44" i="1"/>
  <c r="BF39" i="1"/>
  <c r="BF38" i="1"/>
  <c r="BF34" i="1"/>
  <c r="BF25" i="1"/>
  <c r="BF24" i="1"/>
  <c r="BF23" i="1"/>
  <c r="BF22" i="1"/>
  <c r="BF10" i="1"/>
  <c r="BF8" i="1"/>
  <c r="BF51" i="1" l="1"/>
  <c r="BF53" i="1" s="1"/>
  <c r="BF12" i="1"/>
  <c r="BF9" i="1" s="1"/>
  <c r="BE62" i="1"/>
  <c r="BE5" i="1" l="1"/>
  <c r="BE26" i="1"/>
  <c r="BE18" i="1"/>
  <c r="BE20" i="1"/>
  <c r="BE27" i="1"/>
  <c r="BE50" i="1" l="1"/>
  <c r="BE48" i="1"/>
  <c r="BE47" i="1"/>
  <c r="BE46" i="1"/>
  <c r="BE42" i="1"/>
  <c r="BE41" i="1"/>
  <c r="BE40" i="1"/>
  <c r="BE36" i="1"/>
  <c r="BE33" i="1"/>
  <c r="BE32" i="1"/>
  <c r="BE31" i="1"/>
  <c r="BE30" i="1"/>
  <c r="BE29" i="1"/>
  <c r="BE68" i="1" l="1"/>
  <c r="BE44" i="1"/>
  <c r="BE39" i="1"/>
  <c r="BE38" i="1"/>
  <c r="BE34" i="1"/>
  <c r="BE25" i="1"/>
  <c r="BE24" i="1"/>
  <c r="BE23" i="1"/>
  <c r="BE22" i="1"/>
  <c r="BE10" i="1"/>
  <c r="BE8" i="1"/>
  <c r="BE51" i="1" l="1"/>
  <c r="BE53" i="1" s="1"/>
  <c r="BE12" i="1"/>
  <c r="BE9" i="1" s="1"/>
  <c r="BD5" i="1"/>
  <c r="BD18" i="1"/>
  <c r="BD26" i="1"/>
  <c r="BD20" i="1" l="1"/>
  <c r="BD27" i="1" l="1"/>
  <c r="BD48" i="1"/>
  <c r="BD40" i="1"/>
  <c r="BD68" i="1" l="1"/>
  <c r="BD44" i="1"/>
  <c r="BD39" i="1"/>
  <c r="BD38" i="1"/>
  <c r="BD34" i="1"/>
  <c r="BD25" i="1"/>
  <c r="BD24" i="1"/>
  <c r="BD23" i="1"/>
  <c r="BD22" i="1"/>
  <c r="BD10" i="1"/>
  <c r="BD8" i="1"/>
  <c r="BD51" i="1" l="1"/>
  <c r="BD53" i="1" s="1"/>
  <c r="BD12" i="1"/>
  <c r="BD9" i="1" s="1"/>
  <c r="BC5" i="1"/>
  <c r="BC18" i="1"/>
  <c r="BC26" i="1"/>
  <c r="BC20" i="1" l="1"/>
  <c r="BC7" i="1" l="1"/>
  <c r="BC8" i="1" s="1"/>
  <c r="BC27" i="1" l="1"/>
  <c r="BC50" i="1"/>
  <c r="BC49" i="1"/>
  <c r="BC48" i="1"/>
  <c r="BC47" i="1"/>
  <c r="BC46" i="1"/>
  <c r="BC42" i="1"/>
  <c r="BC41" i="1"/>
  <c r="BC40" i="1"/>
  <c r="BC36" i="1"/>
  <c r="BC33" i="1"/>
  <c r="BC32" i="1"/>
  <c r="BC31" i="1"/>
  <c r="BC30" i="1"/>
  <c r="BC29" i="1"/>
  <c r="BC28" i="1"/>
  <c r="BC68" i="1" l="1"/>
  <c r="BC44" i="1"/>
  <c r="BC39" i="1"/>
  <c r="BC38" i="1"/>
  <c r="BC34" i="1"/>
  <c r="BC25" i="1"/>
  <c r="BC24" i="1"/>
  <c r="BC23" i="1"/>
  <c r="BC22" i="1"/>
  <c r="BC21" i="1"/>
  <c r="BC10" i="1"/>
  <c r="BC51" i="1" l="1"/>
  <c r="BC53" i="1" s="1"/>
  <c r="BC12" i="1"/>
  <c r="BC9" i="1" s="1"/>
  <c r="BB5" i="1"/>
  <c r="BB18" i="1"/>
  <c r="BB26" i="1"/>
  <c r="BB20" i="1"/>
  <c r="BB27" i="1" l="1"/>
  <c r="BB50" i="1"/>
  <c r="BB49" i="1"/>
  <c r="BB48" i="1"/>
  <c r="BB47" i="1"/>
  <c r="BB46" i="1"/>
  <c r="BB44" i="1"/>
  <c r="BB42" i="1"/>
  <c r="BB41" i="1"/>
  <c r="BB40" i="1"/>
  <c r="BB36" i="1"/>
  <c r="BB33" i="1"/>
  <c r="BB32" i="1"/>
  <c r="BB31" i="1"/>
  <c r="BB30" i="1"/>
  <c r="BB29" i="1"/>
  <c r="BB28" i="1"/>
  <c r="BB68" i="1"/>
  <c r="BB39" i="1"/>
  <c r="BB38" i="1"/>
  <c r="BB34" i="1"/>
  <c r="BB25" i="1"/>
  <c r="BB24" i="1"/>
  <c r="BB23" i="1"/>
  <c r="BB22" i="1"/>
  <c r="BB21" i="1"/>
  <c r="BB10" i="1"/>
  <c r="BB8" i="1"/>
  <c r="BB51" i="1" l="1"/>
  <c r="BB53" i="1" s="1"/>
  <c r="BB12" i="1"/>
  <c r="BB9" i="1" s="1"/>
  <c r="AZ62" i="1"/>
  <c r="BA5" i="1" l="1"/>
  <c r="BA18" i="1"/>
  <c r="BA26" i="1" l="1"/>
  <c r="BA59" i="1"/>
  <c r="BA20" i="1"/>
  <c r="BA27" i="1" l="1"/>
  <c r="BA50" i="1"/>
  <c r="BA49" i="1"/>
  <c r="BA48" i="1"/>
  <c r="BA47" i="1"/>
  <c r="BA46" i="1"/>
  <c r="BA44" i="1"/>
  <c r="BA41" i="1"/>
  <c r="BA40" i="1"/>
  <c r="BA36" i="1"/>
  <c r="BA33" i="1"/>
  <c r="BA32" i="1"/>
  <c r="BA31" i="1"/>
  <c r="BA30" i="1"/>
  <c r="BA29" i="1"/>
  <c r="BA28" i="1"/>
  <c r="BA21" i="1"/>
  <c r="BA68" i="1" l="1"/>
  <c r="BA39" i="1"/>
  <c r="BA38" i="1"/>
  <c r="BA34" i="1"/>
  <c r="BA25" i="1"/>
  <c r="BA24" i="1"/>
  <c r="BA23" i="1"/>
  <c r="BA22" i="1"/>
  <c r="BA10" i="1"/>
  <c r="BA8" i="1"/>
  <c r="BA51" i="1" l="1"/>
  <c r="BA53" i="1" s="1"/>
  <c r="BA12" i="1"/>
  <c r="BA9" i="1" s="1"/>
  <c r="AZ5" i="1" l="1"/>
  <c r="AZ18" i="1"/>
  <c r="AZ26" i="1"/>
  <c r="AZ59" i="1"/>
  <c r="AZ20" i="1"/>
  <c r="AZ27" i="1"/>
  <c r="AZ50" i="1"/>
  <c r="AZ49" i="1"/>
  <c r="AZ48" i="1"/>
  <c r="AZ47" i="1"/>
  <c r="AZ42" i="1"/>
  <c r="AZ41" i="1"/>
  <c r="AZ40" i="1"/>
  <c r="AZ36" i="1"/>
  <c r="AZ33" i="1"/>
  <c r="AZ32" i="1"/>
  <c r="AZ31" i="1"/>
  <c r="AZ30" i="1"/>
  <c r="AZ68" i="1" l="1"/>
  <c r="AZ44" i="1"/>
  <c r="AZ39" i="1"/>
  <c r="AZ38" i="1"/>
  <c r="AZ34" i="1"/>
  <c r="AZ25" i="1"/>
  <c r="AZ24" i="1"/>
  <c r="AZ23" i="1"/>
  <c r="AZ22" i="1"/>
  <c r="AZ21" i="1"/>
  <c r="AZ10" i="1"/>
  <c r="AZ7" i="1"/>
  <c r="AZ8" i="1" s="1"/>
  <c r="AZ51" i="1" l="1"/>
  <c r="AZ53" i="1" s="1"/>
  <c r="AZ12" i="1"/>
  <c r="AZ9" i="1" s="1"/>
  <c r="AY5" i="1"/>
  <c r="AY26" i="1"/>
  <c r="AY18" i="1"/>
  <c r="AY62" i="1"/>
  <c r="AY59" i="1" l="1"/>
  <c r="AY20" i="1"/>
  <c r="AY27" i="1" l="1"/>
  <c r="AY50" i="1"/>
  <c r="AY49" i="1"/>
  <c r="AY48" i="1"/>
  <c r="AY47" i="1"/>
  <c r="AY46" i="1"/>
  <c r="AY42" i="1"/>
  <c r="AY41" i="1"/>
  <c r="AY40" i="1"/>
  <c r="AY36" i="1"/>
  <c r="AY33" i="1"/>
  <c r="AY32" i="1"/>
  <c r="AY31" i="1"/>
  <c r="AY30" i="1"/>
  <c r="AY29" i="1"/>
  <c r="AY28" i="1"/>
  <c r="AY21" i="1"/>
  <c r="AY7" i="1"/>
  <c r="AY8" i="1" s="1"/>
  <c r="AY68" i="1"/>
  <c r="AY44" i="1"/>
  <c r="AY39" i="1"/>
  <c r="AY38" i="1"/>
  <c r="AY34" i="1"/>
  <c r="AY25" i="1"/>
  <c r="AY24" i="1"/>
  <c r="AY23" i="1"/>
  <c r="AY22" i="1"/>
  <c r="AY10" i="1"/>
  <c r="AY51" i="1" l="1"/>
  <c r="AY53" i="1" s="1"/>
  <c r="AY12" i="1"/>
  <c r="AY9" i="1" s="1"/>
  <c r="AX59" i="1"/>
  <c r="AX62" i="1"/>
  <c r="AX5" i="1"/>
  <c r="AX18" i="1"/>
  <c r="AX26" i="1"/>
  <c r="AX20" i="1"/>
  <c r="AX27" i="1" l="1"/>
  <c r="AX50" i="1"/>
  <c r="AX49" i="1"/>
  <c r="AX48" i="1"/>
  <c r="AX47" i="1"/>
  <c r="AX46" i="1"/>
  <c r="AX42" i="1"/>
  <c r="AX41" i="1"/>
  <c r="AX40" i="1"/>
  <c r="AX36" i="1"/>
  <c r="AX34" i="1"/>
  <c r="AX33" i="1"/>
  <c r="AX32" i="1"/>
  <c r="AX31" i="1"/>
  <c r="AX30" i="1"/>
  <c r="AX29" i="1"/>
  <c r="AX28" i="1"/>
  <c r="AX21" i="1"/>
  <c r="AX68" i="1" l="1"/>
  <c r="AX44" i="1"/>
  <c r="AX39" i="1"/>
  <c r="AX38" i="1"/>
  <c r="AX25" i="1"/>
  <c r="AX24" i="1"/>
  <c r="AX23" i="1"/>
  <c r="AX22" i="1"/>
  <c r="AX10" i="1"/>
  <c r="AX6" i="1"/>
  <c r="AX8" i="1" s="1"/>
  <c r="AX51" i="1" l="1"/>
  <c r="AX53" i="1" s="1"/>
  <c r="AX12" i="1"/>
  <c r="AX9" i="1" s="1"/>
  <c r="AW10" i="1" l="1"/>
  <c r="AW5" i="1" l="1"/>
  <c r="AW6" i="1"/>
  <c r="AW18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6" i="1"/>
  <c r="AW38" i="1"/>
  <c r="AW39" i="1"/>
  <c r="AW40" i="1"/>
  <c r="AW41" i="1"/>
  <c r="AW42" i="1"/>
  <c r="AW43" i="1"/>
  <c r="AW44" i="1"/>
  <c r="AW46" i="1"/>
  <c r="AW47" i="1"/>
  <c r="AW48" i="1"/>
  <c r="AW49" i="1"/>
  <c r="AW50" i="1"/>
  <c r="AW59" i="1"/>
  <c r="AW68" i="1" s="1"/>
  <c r="AW62" i="1"/>
  <c r="AW8" i="1" l="1"/>
  <c r="AW12" i="1" s="1"/>
  <c r="AW9" i="1" s="1"/>
  <c r="AW51" i="1"/>
  <c r="AV10" i="1"/>
  <c r="AW53" i="1" l="1"/>
  <c r="AV68" i="1"/>
  <c r="AV5" i="1"/>
  <c r="AV6" i="1"/>
  <c r="AV18" i="1"/>
  <c r="AV20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6" i="1"/>
  <c r="AV38" i="1"/>
  <c r="AV39" i="1"/>
  <c r="AV40" i="1"/>
  <c r="AV41" i="1"/>
  <c r="AV42" i="1"/>
  <c r="AV43" i="1"/>
  <c r="AV44" i="1"/>
  <c r="AV46" i="1"/>
  <c r="AV47" i="1"/>
  <c r="AV48" i="1"/>
  <c r="AV49" i="1"/>
  <c r="AV50" i="1"/>
  <c r="AV8" i="1" l="1"/>
  <c r="AV12" i="1" s="1"/>
  <c r="AV9" i="1" s="1"/>
  <c r="AV51" i="1"/>
  <c r="AU5" i="1"/>
  <c r="AU26" i="1"/>
  <c r="AU18" i="1"/>
  <c r="AU20" i="1"/>
  <c r="AU27" i="1"/>
  <c r="AU50" i="1"/>
  <c r="AU49" i="1"/>
  <c r="AU48" i="1"/>
  <c r="AU47" i="1"/>
  <c r="AU46" i="1"/>
  <c r="AU43" i="1"/>
  <c r="AU42" i="1"/>
  <c r="AU41" i="1"/>
  <c r="AU40" i="1"/>
  <c r="AU36" i="1"/>
  <c r="AU34" i="1"/>
  <c r="AU33" i="1"/>
  <c r="AU32" i="1"/>
  <c r="AU31" i="1"/>
  <c r="AU30" i="1"/>
  <c r="AU29" i="1"/>
  <c r="AU28" i="1"/>
  <c r="AU21" i="1"/>
  <c r="AU68" i="1"/>
  <c r="AU44" i="1"/>
  <c r="AU39" i="1"/>
  <c r="AU38" i="1"/>
  <c r="AU25" i="1"/>
  <c r="AU24" i="1"/>
  <c r="AU23" i="1"/>
  <c r="AU22" i="1"/>
  <c r="AU10" i="1"/>
  <c r="AU7" i="1"/>
  <c r="AU6" i="1"/>
  <c r="AV53" i="1" l="1"/>
  <c r="AU8" i="1"/>
  <c r="AU51" i="1"/>
  <c r="AT5" i="1"/>
  <c r="AT18" i="1"/>
  <c r="AU12" i="1" l="1"/>
  <c r="AU9" i="1" s="1"/>
  <c r="AU53" i="1"/>
  <c r="AT26" i="1"/>
  <c r="AT20" i="1" l="1"/>
  <c r="AT27" i="1"/>
  <c r="AT50" i="1"/>
  <c r="AT49" i="1"/>
  <c r="AT48" i="1"/>
  <c r="AT47" i="1"/>
  <c r="AT46" i="1"/>
  <c r="AT44" i="1"/>
  <c r="AT42" i="1"/>
  <c r="AT41" i="1"/>
  <c r="AT40" i="1"/>
  <c r="AT33" i="1"/>
  <c r="AT31" i="1"/>
  <c r="AT30" i="1"/>
  <c r="AT29" i="1"/>
  <c r="G5" i="1"/>
  <c r="G8" i="1" s="1"/>
  <c r="H5" i="1"/>
  <c r="H8" i="1" s="1"/>
  <c r="I8" i="1"/>
  <c r="J8" i="1"/>
  <c r="H9" i="1"/>
  <c r="I10" i="1"/>
  <c r="J10" i="1"/>
  <c r="H18" i="1"/>
  <c r="H20" i="1"/>
  <c r="I20" i="1"/>
  <c r="J20" i="1"/>
  <c r="H24" i="1"/>
  <c r="H26" i="1"/>
  <c r="G27" i="1"/>
  <c r="H27" i="1"/>
  <c r="I27" i="1"/>
  <c r="J27" i="1"/>
  <c r="G51" i="1"/>
  <c r="I51" i="1" l="1"/>
  <c r="I53" i="1" s="1"/>
  <c r="J51" i="1"/>
  <c r="J53" i="1" s="1"/>
  <c r="H51" i="1"/>
  <c r="H53" i="1" s="1"/>
  <c r="J12" i="1"/>
  <c r="J9" i="1" s="1"/>
  <c r="G53" i="1"/>
  <c r="I12" i="1"/>
  <c r="I9" i="1" s="1"/>
  <c r="AT43" i="1" l="1"/>
  <c r="AT45" i="1"/>
  <c r="AT7" i="1"/>
  <c r="AT68" i="1" l="1"/>
  <c r="AT39" i="1"/>
  <c r="AT38" i="1"/>
  <c r="AT36" i="1"/>
  <c r="AT34" i="1"/>
  <c r="AT32" i="1"/>
  <c r="AT28" i="1"/>
  <c r="AT25" i="1"/>
  <c r="AT24" i="1"/>
  <c r="AT23" i="1"/>
  <c r="AT22" i="1"/>
  <c r="AT21" i="1"/>
  <c r="AT10" i="1"/>
  <c r="AT6" i="1"/>
  <c r="AT8" i="1" s="1"/>
  <c r="AT12" i="1" l="1"/>
  <c r="AT9" i="1" s="1"/>
  <c r="AT51" i="1"/>
  <c r="AT53" i="1" s="1"/>
  <c r="AG10" i="1" l="1"/>
  <c r="AA11" i="1"/>
  <c r="AS5" i="1"/>
  <c r="AS18" i="1" l="1"/>
  <c r="AS20" i="1"/>
  <c r="AS26" i="1"/>
  <c r="AS60" i="1"/>
  <c r="AS68" i="1" s="1"/>
  <c r="AS27" i="1"/>
  <c r="AS50" i="1"/>
  <c r="AS48" i="1"/>
  <c r="AS47" i="1"/>
  <c r="AS42" i="1"/>
  <c r="AS41" i="1"/>
  <c r="AS40" i="1"/>
  <c r="AS36" i="1"/>
  <c r="AS33" i="1"/>
  <c r="AS32" i="1"/>
  <c r="AS31" i="1"/>
  <c r="AS30" i="1"/>
  <c r="AS29" i="1"/>
  <c r="AS28" i="1"/>
  <c r="AS21" i="1"/>
  <c r="AS43" i="1"/>
  <c r="AS49" i="1" l="1"/>
  <c r="AS46" i="1"/>
  <c r="AS44" i="1"/>
  <c r="AS39" i="1"/>
  <c r="AS38" i="1"/>
  <c r="AS34" i="1"/>
  <c r="AS25" i="1"/>
  <c r="AS24" i="1"/>
  <c r="AS23" i="1"/>
  <c r="AS22" i="1"/>
  <c r="AS10" i="1"/>
  <c r="AS7" i="1"/>
  <c r="AS6" i="1"/>
  <c r="AS51" i="1" l="1"/>
  <c r="AS8" i="1"/>
  <c r="AS12" i="1" s="1"/>
  <c r="AR7" i="1"/>
  <c r="AS9" i="1" l="1"/>
  <c r="AS53" i="1"/>
  <c r="AR5" i="1"/>
  <c r="AR18" i="1"/>
  <c r="AR26" i="1" l="1"/>
  <c r="AR20" i="1"/>
  <c r="AR27" i="1"/>
  <c r="AR50" i="1"/>
  <c r="AR48" i="1"/>
  <c r="AR46" i="1"/>
  <c r="AR43" i="1"/>
  <c r="AR42" i="1"/>
  <c r="AR41" i="1"/>
  <c r="AR40" i="1"/>
  <c r="AR36" i="1"/>
  <c r="AR33" i="1"/>
  <c r="AR32" i="1"/>
  <c r="AR31" i="1"/>
  <c r="AR30" i="1"/>
  <c r="AR29" i="1"/>
  <c r="AR28" i="1"/>
  <c r="AR6" i="1"/>
  <c r="AR8" i="1" s="1"/>
  <c r="AR68" i="1"/>
  <c r="AR49" i="1"/>
  <c r="AR47" i="1"/>
  <c r="AR44" i="1"/>
  <c r="AR39" i="1"/>
  <c r="AR38" i="1"/>
  <c r="AR34" i="1"/>
  <c r="AR25" i="1"/>
  <c r="AR24" i="1"/>
  <c r="AR23" i="1"/>
  <c r="AR22" i="1"/>
  <c r="AR10" i="1"/>
  <c r="AR51" i="1" l="1"/>
  <c r="AR53" i="1" s="1"/>
  <c r="AR12" i="1"/>
  <c r="AR9" i="1" s="1"/>
  <c r="AQ5" i="1"/>
  <c r="AQ18" i="1"/>
  <c r="AQ20" i="1"/>
  <c r="AQ26" i="1" l="1"/>
  <c r="AQ27" i="1" l="1"/>
  <c r="AQ50" i="1"/>
  <c r="AQ48" i="1"/>
  <c r="AQ45" i="1"/>
  <c r="AQ43" i="1"/>
  <c r="AQ42" i="1"/>
  <c r="AQ41" i="1"/>
  <c r="AQ40" i="1"/>
  <c r="AQ38" i="1"/>
  <c r="AQ36" i="1"/>
  <c r="AQ33" i="1"/>
  <c r="AQ32" i="1"/>
  <c r="AQ31" i="1"/>
  <c r="AQ30" i="1"/>
  <c r="AQ29" i="1"/>
  <c r="AQ28" i="1"/>
  <c r="AQ68" i="1"/>
  <c r="AQ49" i="1"/>
  <c r="AQ47" i="1"/>
  <c r="AQ46" i="1"/>
  <c r="AQ44" i="1"/>
  <c r="AQ39" i="1"/>
  <c r="AQ34" i="1"/>
  <c r="AQ25" i="1"/>
  <c r="AQ24" i="1"/>
  <c r="AQ23" i="1"/>
  <c r="AQ22" i="1"/>
  <c r="AQ10" i="1"/>
  <c r="AQ8" i="1"/>
  <c r="AQ51" i="1" l="1"/>
  <c r="AQ53" i="1" s="1"/>
  <c r="AQ12" i="1"/>
  <c r="AQ9" i="1" s="1"/>
  <c r="AP5" i="1"/>
  <c r="AP18" i="1"/>
  <c r="AP20" i="1"/>
  <c r="AP26" i="1"/>
  <c r="AP27" i="1" l="1"/>
  <c r="AP50" i="1"/>
  <c r="AP48" i="1"/>
  <c r="AP42" i="1"/>
  <c r="AP41" i="1"/>
  <c r="AP40" i="1"/>
  <c r="AP36" i="1"/>
  <c r="AP33" i="1"/>
  <c r="AP32" i="1"/>
  <c r="AP31" i="1"/>
  <c r="AP30" i="1"/>
  <c r="AP29" i="1"/>
  <c r="AP28" i="1"/>
  <c r="AP68" i="1" l="1"/>
  <c r="AP49" i="1"/>
  <c r="AP47" i="1"/>
  <c r="AP46" i="1"/>
  <c r="AP45" i="1"/>
  <c r="AP44" i="1"/>
  <c r="AP43" i="1"/>
  <c r="AP39" i="1"/>
  <c r="AP38" i="1"/>
  <c r="AP34" i="1"/>
  <c r="AP25" i="1"/>
  <c r="AP24" i="1"/>
  <c r="AP23" i="1"/>
  <c r="AP22" i="1"/>
  <c r="AP10" i="1"/>
  <c r="AP8" i="1"/>
  <c r="AP51" i="1" l="1"/>
  <c r="AP53" i="1" s="1"/>
  <c r="AP12" i="1"/>
  <c r="AP9" i="1" s="1"/>
  <c r="AO5" i="1"/>
  <c r="AO26" i="1"/>
  <c r="AO59" i="1" l="1"/>
  <c r="AO20" i="1"/>
  <c r="AO27" i="1"/>
  <c r="AO50" i="1"/>
  <c r="AO48" i="1"/>
  <c r="AO45" i="1"/>
  <c r="AO43" i="1"/>
  <c r="AO42" i="1"/>
  <c r="AO41" i="1"/>
  <c r="AO40" i="1"/>
  <c r="AO33" i="1"/>
  <c r="AO32" i="1"/>
  <c r="AO31" i="1"/>
  <c r="AO30" i="1"/>
  <c r="AO29" i="1"/>
  <c r="AO21" i="1" l="1"/>
  <c r="AO18" i="1"/>
  <c r="AO68" i="1"/>
  <c r="AO49" i="1"/>
  <c r="AO47" i="1"/>
  <c r="AO46" i="1"/>
  <c r="AO44" i="1"/>
  <c r="AO39" i="1"/>
  <c r="AO38" i="1"/>
  <c r="AO36" i="1"/>
  <c r="AO34" i="1"/>
  <c r="AO28" i="1"/>
  <c r="AO25" i="1"/>
  <c r="AO24" i="1"/>
  <c r="AO23" i="1"/>
  <c r="AO22" i="1"/>
  <c r="AO10" i="1"/>
  <c r="AO8" i="1"/>
  <c r="AO51" i="1" l="1"/>
  <c r="AO53" i="1" s="1"/>
  <c r="AO12" i="1"/>
  <c r="AO9" i="1" s="1"/>
  <c r="AN66" i="1"/>
  <c r="AN65" i="1"/>
  <c r="AN5" i="1"/>
  <c r="AN18" i="1"/>
  <c r="AN20" i="1"/>
  <c r="AN26" i="1"/>
  <c r="AN59" i="1"/>
  <c r="AN27" i="1"/>
  <c r="AN50" i="1"/>
  <c r="AN48" i="1"/>
  <c r="AN43" i="1"/>
  <c r="AN42" i="1"/>
  <c r="AN40" i="1"/>
  <c r="AN33" i="1"/>
  <c r="AN36" i="1"/>
  <c r="AN32" i="1"/>
  <c r="AN31" i="1"/>
  <c r="AN30" i="1"/>
  <c r="AN29" i="1"/>
  <c r="AN28" i="1"/>
  <c r="AN45" i="1"/>
  <c r="AN68" i="1" l="1"/>
  <c r="AN49" i="1"/>
  <c r="AN47" i="1"/>
  <c r="AN46" i="1"/>
  <c r="AN44" i="1"/>
  <c r="AN41" i="1"/>
  <c r="AN39" i="1"/>
  <c r="AN38" i="1"/>
  <c r="AN34" i="1"/>
  <c r="AN25" i="1"/>
  <c r="AN24" i="1"/>
  <c r="AN23" i="1"/>
  <c r="AN22" i="1"/>
  <c r="AN21" i="1"/>
  <c r="AN10" i="1"/>
  <c r="AN8" i="1"/>
  <c r="AN51" i="1" l="1"/>
  <c r="AN53" i="1" s="1"/>
  <c r="AN12" i="1"/>
  <c r="AN9" i="1" s="1"/>
  <c r="AM5" i="1"/>
  <c r="AM18" i="1"/>
  <c r="AM26" i="1" l="1"/>
  <c r="AM20" i="1"/>
  <c r="AM27" i="1" l="1"/>
  <c r="AM50" i="1"/>
  <c r="AM49" i="1"/>
  <c r="AM48" i="1"/>
  <c r="AM45" i="1"/>
  <c r="AM43" i="1"/>
  <c r="AM42" i="1"/>
  <c r="AM41" i="1"/>
  <c r="AM40" i="1"/>
  <c r="AM36" i="1"/>
  <c r="AM33" i="1"/>
  <c r="AM32" i="1"/>
  <c r="AM31" i="1"/>
  <c r="AM30" i="1"/>
  <c r="AM29" i="1"/>
  <c r="AM28" i="1"/>
  <c r="AM21" i="1"/>
  <c r="AM68" i="1" l="1"/>
  <c r="AM47" i="1"/>
  <c r="AM46" i="1"/>
  <c r="AM44" i="1"/>
  <c r="AM39" i="1"/>
  <c r="AM38" i="1"/>
  <c r="AM34" i="1"/>
  <c r="AM25" i="1"/>
  <c r="AM24" i="1"/>
  <c r="AM23" i="1"/>
  <c r="AM22" i="1"/>
  <c r="AM10" i="1"/>
  <c r="AM8" i="1"/>
  <c r="AM51" i="1" l="1"/>
  <c r="AM53" i="1" s="1"/>
  <c r="AM12" i="1"/>
  <c r="AM9" i="1" s="1"/>
  <c r="AL5" i="1"/>
  <c r="AL8" i="1" s="1"/>
  <c r="AL18" i="1"/>
  <c r="AL26" i="1"/>
  <c r="AL20" i="1"/>
  <c r="AL27" i="1"/>
  <c r="AL45" i="1"/>
  <c r="AL43" i="1"/>
  <c r="AL50" i="1"/>
  <c r="AL48" i="1"/>
  <c r="AL47" i="1"/>
  <c r="AL42" i="1"/>
  <c r="AL41" i="1"/>
  <c r="AL40" i="1"/>
  <c r="AL33" i="1"/>
  <c r="AL31" i="1"/>
  <c r="AL30" i="1"/>
  <c r="AL29" i="1"/>
  <c r="AL21" i="1"/>
  <c r="AL68" i="1"/>
  <c r="AL49" i="1"/>
  <c r="AL46" i="1"/>
  <c r="AL44" i="1"/>
  <c r="AL39" i="1"/>
  <c r="AL38" i="1"/>
  <c r="AL36" i="1"/>
  <c r="AL34" i="1"/>
  <c r="AL32" i="1"/>
  <c r="AL28" i="1"/>
  <c r="AL25" i="1"/>
  <c r="AL24" i="1"/>
  <c r="AL23" i="1"/>
  <c r="AL22" i="1"/>
  <c r="AL10" i="1"/>
  <c r="AL51" i="1" l="1"/>
  <c r="AL53" i="1" s="1"/>
  <c r="AL12" i="1"/>
  <c r="AL9" i="1" s="1"/>
  <c r="AK5" i="1"/>
  <c r="AK18" i="1"/>
  <c r="AJ18" i="1" l="1"/>
  <c r="AK26" i="1"/>
  <c r="AK20" i="1" l="1"/>
  <c r="AK27" i="1" l="1"/>
  <c r="AK50" i="1"/>
  <c r="AK48" i="1"/>
  <c r="AK46" i="1"/>
  <c r="AK45" i="1"/>
  <c r="AK43" i="1"/>
  <c r="AK42" i="1"/>
  <c r="AK41" i="1"/>
  <c r="AK40" i="1"/>
  <c r="AK36" i="1"/>
  <c r="AK33" i="1"/>
  <c r="AK32" i="1"/>
  <c r="AK31" i="1"/>
  <c r="AK30" i="1"/>
  <c r="AK29" i="1"/>
  <c r="AK28" i="1"/>
  <c r="AK21" i="1"/>
  <c r="AK68" i="1" l="1"/>
  <c r="AK49" i="1"/>
  <c r="AK47" i="1"/>
  <c r="AK44" i="1"/>
  <c r="AK39" i="1"/>
  <c r="AK38" i="1"/>
  <c r="AK34" i="1"/>
  <c r="AK25" i="1"/>
  <c r="AK24" i="1"/>
  <c r="AK23" i="1"/>
  <c r="AK22" i="1"/>
  <c r="AK10" i="1"/>
  <c r="AK8" i="1"/>
  <c r="AK51" i="1" l="1"/>
  <c r="AK53" i="1" s="1"/>
  <c r="AK12" i="1"/>
  <c r="AK9" i="1" s="1"/>
  <c r="AJ5" i="1"/>
  <c r="AJ26" i="1"/>
  <c r="AJ20" i="1"/>
  <c r="AJ27" i="1" l="1"/>
  <c r="AJ50" i="1"/>
  <c r="AJ48" i="1"/>
  <c r="AJ8" i="1"/>
  <c r="AJ45" i="1"/>
  <c r="AJ43" i="1"/>
  <c r="AJ42" i="1"/>
  <c r="AJ41" i="1"/>
  <c r="AJ40" i="1"/>
  <c r="AJ33" i="1"/>
  <c r="AJ31" i="1"/>
  <c r="AJ30" i="1"/>
  <c r="AJ29" i="1"/>
  <c r="AJ68" i="1"/>
  <c r="AJ49" i="1"/>
  <c r="AJ47" i="1"/>
  <c r="AJ46" i="1"/>
  <c r="AJ44" i="1"/>
  <c r="AJ39" i="1"/>
  <c r="AJ38" i="1"/>
  <c r="AJ36" i="1"/>
  <c r="AJ34" i="1"/>
  <c r="AJ32" i="1"/>
  <c r="AJ28" i="1"/>
  <c r="AJ25" i="1"/>
  <c r="AJ24" i="1"/>
  <c r="AJ23" i="1"/>
  <c r="AJ22" i="1"/>
  <c r="AJ21" i="1"/>
  <c r="AJ10" i="1"/>
  <c r="AJ51" i="1" l="1"/>
  <c r="AJ53" i="1" s="1"/>
  <c r="AJ12" i="1"/>
  <c r="AJ9" i="1" s="1"/>
  <c r="AI26" i="1"/>
  <c r="AI5" i="1"/>
  <c r="AI20" i="1"/>
  <c r="AI18" i="1"/>
  <c r="AI45" i="1" l="1"/>
  <c r="AI43" i="1"/>
  <c r="AI27" i="1"/>
  <c r="AI50" i="1"/>
  <c r="AI42" i="1"/>
  <c r="AI41" i="1"/>
  <c r="AI40" i="1"/>
  <c r="AI36" i="1"/>
  <c r="AI34" i="1"/>
  <c r="AI33" i="1"/>
  <c r="AI32" i="1"/>
  <c r="AI31" i="1"/>
  <c r="AI30" i="1"/>
  <c r="AI29" i="1"/>
  <c r="AI28" i="1"/>
  <c r="AI21" i="1"/>
  <c r="AI8" i="1"/>
  <c r="AI68" i="1"/>
  <c r="AI49" i="1"/>
  <c r="AI48" i="1"/>
  <c r="AI47" i="1"/>
  <c r="AI46" i="1"/>
  <c r="AI44" i="1"/>
  <c r="AI39" i="1"/>
  <c r="AI38" i="1"/>
  <c r="AI25" i="1"/>
  <c r="AI24" i="1"/>
  <c r="AI23" i="1"/>
  <c r="AI22" i="1"/>
  <c r="AI10" i="1"/>
  <c r="AI51" i="1" l="1"/>
  <c r="AI53" i="1" s="1"/>
  <c r="AI12" i="1"/>
  <c r="AI9" i="1" s="1"/>
  <c r="AH26" i="1" l="1"/>
  <c r="AH20" i="1"/>
  <c r="AH18" i="1"/>
  <c r="AH5" i="1"/>
  <c r="AH45" i="1" l="1"/>
  <c r="AH43" i="1"/>
  <c r="AH27" i="1"/>
  <c r="AH50" i="1"/>
  <c r="AH48" i="1"/>
  <c r="AH41" i="1"/>
  <c r="AH40" i="1"/>
  <c r="AH36" i="1"/>
  <c r="AH33" i="1"/>
  <c r="AH32" i="1"/>
  <c r="AH31" i="1"/>
  <c r="AH30" i="1"/>
  <c r="AH29" i="1"/>
  <c r="AH28" i="1"/>
  <c r="AH22" i="1"/>
  <c r="AH21" i="1"/>
  <c r="AH68" i="1" l="1"/>
  <c r="AH49" i="1"/>
  <c r="AH47" i="1"/>
  <c r="AH46" i="1"/>
  <c r="AH44" i="1"/>
  <c r="AH42" i="1"/>
  <c r="AH39" i="1"/>
  <c r="AH38" i="1"/>
  <c r="AH34" i="1"/>
  <c r="AH25" i="1"/>
  <c r="AH24" i="1"/>
  <c r="AH23" i="1"/>
  <c r="AH10" i="1"/>
  <c r="AH8" i="1"/>
  <c r="AH51" i="1" l="1"/>
  <c r="AH53" i="1" s="1"/>
  <c r="AH12" i="1"/>
  <c r="AH9" i="1" s="1"/>
  <c r="AG5" i="1"/>
  <c r="AG18" i="1"/>
  <c r="AG20" i="1"/>
  <c r="AG26" i="1"/>
  <c r="AG27" i="1" l="1"/>
  <c r="AG50" i="1"/>
  <c r="AG49" i="1"/>
  <c r="AG48" i="1"/>
  <c r="AG47" i="1"/>
  <c r="AG46" i="1"/>
  <c r="AG44" i="1"/>
  <c r="AG42" i="1"/>
  <c r="AG41" i="1"/>
  <c r="AG40" i="1"/>
  <c r="AG39" i="1"/>
  <c r="AG38" i="1"/>
  <c r="AG36" i="1"/>
  <c r="AG34" i="1"/>
  <c r="AG33" i="1"/>
  <c r="AG32" i="1"/>
  <c r="AG31" i="1"/>
  <c r="AG30" i="1"/>
  <c r="AG29" i="1"/>
  <c r="AG28" i="1"/>
  <c r="AG25" i="1"/>
  <c r="AG24" i="1"/>
  <c r="AG23" i="1"/>
  <c r="AG22" i="1"/>
  <c r="AG21" i="1"/>
  <c r="AG6" i="1"/>
  <c r="AG8" i="1" s="1"/>
  <c r="AG43" i="1"/>
  <c r="AG45" i="1"/>
  <c r="AG68" i="1"/>
  <c r="AG12" i="1" l="1"/>
  <c r="AG9" i="1" s="1"/>
  <c r="AG51" i="1"/>
  <c r="AG53" i="1" s="1"/>
  <c r="AF5" i="1"/>
  <c r="AF18" i="1"/>
  <c r="AF20" i="1"/>
  <c r="AF26" i="1"/>
  <c r="AF27" i="1" l="1"/>
  <c r="AF50" i="1"/>
  <c r="AF48" i="1"/>
  <c r="AF43" i="1"/>
  <c r="AF41" i="1"/>
  <c r="AF40" i="1"/>
  <c r="AF36" i="1"/>
  <c r="AF33" i="1"/>
  <c r="AF32" i="1"/>
  <c r="AF31" i="1"/>
  <c r="AF30" i="1"/>
  <c r="AF29" i="1"/>
  <c r="AF28" i="1"/>
  <c r="AF24" i="1"/>
  <c r="AF21" i="1"/>
  <c r="AF6" i="1" l="1"/>
  <c r="AF68" i="1" l="1"/>
  <c r="AF49" i="1"/>
  <c r="AF47" i="1"/>
  <c r="AF46" i="1"/>
  <c r="AF44" i="1"/>
  <c r="AF42" i="1"/>
  <c r="AF39" i="1"/>
  <c r="AF38" i="1"/>
  <c r="AF34" i="1"/>
  <c r="AF25" i="1"/>
  <c r="AF23" i="1"/>
  <c r="AF22" i="1"/>
  <c r="AF11" i="1"/>
  <c r="AF10" i="1" s="1"/>
  <c r="AF8" i="1"/>
  <c r="AF51" i="1" l="1"/>
  <c r="AF53" i="1" s="1"/>
  <c r="AF12" i="1"/>
  <c r="AF9" i="1" s="1"/>
  <c r="AE62" i="1"/>
  <c r="AE18" i="1"/>
  <c r="AE5" i="1" l="1"/>
  <c r="AE20" i="1"/>
  <c r="AE26" i="1"/>
  <c r="AE27" i="1" l="1"/>
  <c r="AE50" i="1"/>
  <c r="AE48" i="1"/>
  <c r="AE47" i="1"/>
  <c r="AE46" i="1"/>
  <c r="AE41" i="1"/>
  <c r="AE36" i="1"/>
  <c r="AE33" i="1"/>
  <c r="AE32" i="1"/>
  <c r="AE31" i="1"/>
  <c r="AE30" i="1"/>
  <c r="AE29" i="1"/>
  <c r="AE28" i="1"/>
  <c r="AE22" i="1"/>
  <c r="AE21" i="1"/>
  <c r="AE43" i="1"/>
  <c r="AE6" i="1"/>
  <c r="AE8" i="1" s="1"/>
  <c r="AE68" i="1"/>
  <c r="AE49" i="1"/>
  <c r="AE44" i="1"/>
  <c r="AE42" i="1"/>
  <c r="AE39" i="1"/>
  <c r="AE38" i="1"/>
  <c r="AE34" i="1"/>
  <c r="AE25" i="1"/>
  <c r="AE24" i="1"/>
  <c r="AE23" i="1"/>
  <c r="AE11" i="1"/>
  <c r="AE10" i="1" s="1"/>
  <c r="AE51" i="1" l="1"/>
  <c r="AE53" i="1" s="1"/>
  <c r="AE12" i="1"/>
  <c r="AE9" i="1" s="1"/>
  <c r="AD5" i="1"/>
  <c r="AD18" i="1"/>
  <c r="AD26" i="1"/>
  <c r="AD20" i="1"/>
  <c r="AD59" i="1"/>
  <c r="AD45" i="1" l="1"/>
  <c r="AD43" i="1"/>
  <c r="AD27" i="1" l="1"/>
  <c r="AD50" i="1"/>
  <c r="AD48" i="1"/>
  <c r="AD46" i="1"/>
  <c r="AD41" i="1"/>
  <c r="AD36" i="1"/>
  <c r="AD33" i="1"/>
  <c r="AD32" i="1"/>
  <c r="AD31" i="1"/>
  <c r="AD30" i="1"/>
  <c r="AD29" i="1"/>
  <c r="AD28" i="1"/>
  <c r="AD24" i="1"/>
  <c r="AD6" i="1"/>
  <c r="AD68" i="1" l="1"/>
  <c r="AD49" i="1"/>
  <c r="AD47" i="1"/>
  <c r="AD44" i="1"/>
  <c r="AD42" i="1"/>
  <c r="AD39" i="1"/>
  <c r="AD38" i="1"/>
  <c r="AD34" i="1"/>
  <c r="AD25" i="1"/>
  <c r="AD23" i="1"/>
  <c r="AD22" i="1"/>
  <c r="AD11" i="1"/>
  <c r="AD10" i="1" s="1"/>
  <c r="AD8" i="1"/>
  <c r="AD51" i="1" l="1"/>
  <c r="AD53" i="1" s="1"/>
  <c r="AD12" i="1"/>
  <c r="AD9" i="1" s="1"/>
  <c r="AC18" i="1"/>
  <c r="AC5" i="1"/>
  <c r="AC24" i="1"/>
  <c r="AC20" i="1" l="1"/>
  <c r="AC26" i="1"/>
  <c r="AC62" i="1" l="1"/>
  <c r="AC60" i="1"/>
  <c r="AC59" i="1"/>
  <c r="AC45" i="1" l="1"/>
  <c r="AC43" i="1"/>
  <c r="AC27" i="1"/>
  <c r="AC6" i="1"/>
  <c r="AC44" i="1"/>
  <c r="AC46" i="1"/>
  <c r="AC47" i="1"/>
  <c r="AC39" i="1"/>
  <c r="AC38" i="1"/>
  <c r="AC31" i="1"/>
  <c r="AC42" i="1"/>
  <c r="AC48" i="1"/>
  <c r="AC50" i="1"/>
  <c r="AC25" i="1"/>
  <c r="AC41" i="1"/>
  <c r="AC34" i="1"/>
  <c r="AC28" i="1"/>
  <c r="AC29" i="1"/>
  <c r="AC33" i="1"/>
  <c r="AC30" i="1"/>
  <c r="AC32" i="1"/>
  <c r="AC36" i="1"/>
  <c r="AC23" i="1"/>
  <c r="AC22" i="1"/>
  <c r="AC68" i="1"/>
  <c r="AC49" i="1"/>
  <c r="AC11" i="1"/>
  <c r="AC10" i="1" s="1"/>
  <c r="AC8" i="1"/>
  <c r="AC51" i="1" l="1"/>
  <c r="AC53" i="1" s="1"/>
  <c r="AC12" i="1"/>
  <c r="AC9" i="1" s="1"/>
  <c r="AB22" i="1"/>
  <c r="AB5" i="1"/>
  <c r="AB24" i="1" l="1"/>
  <c r="AB18" i="1" l="1"/>
  <c r="AB20" i="1"/>
  <c r="AB26" i="1"/>
  <c r="AB42" i="1" l="1"/>
  <c r="AB27" i="1"/>
  <c r="AB45" i="1" l="1"/>
  <c r="AB43" i="1"/>
  <c r="AB50" i="1"/>
  <c r="AB48" i="1"/>
  <c r="AB41" i="1"/>
  <c r="AB40" i="1"/>
  <c r="AB36" i="1"/>
  <c r="AB33" i="1"/>
  <c r="AB32" i="1"/>
  <c r="AB31" i="1"/>
  <c r="AB30" i="1"/>
  <c r="AB29" i="1"/>
  <c r="AB21" i="1"/>
  <c r="AB68" i="1" l="1"/>
  <c r="AB49" i="1"/>
  <c r="AB47" i="1"/>
  <c r="AB46" i="1"/>
  <c r="AB44" i="1"/>
  <c r="AB39" i="1"/>
  <c r="AB38" i="1"/>
  <c r="AB34" i="1"/>
  <c r="AB25" i="1"/>
  <c r="AB23" i="1"/>
  <c r="AB11" i="1"/>
  <c r="AB10" i="1" s="1"/>
  <c r="AB8" i="1"/>
  <c r="AB51" i="1" l="1"/>
  <c r="AB53" i="1" s="1"/>
  <c r="AB12" i="1"/>
  <c r="AB9" i="1" s="1"/>
  <c r="AA26" i="1"/>
  <c r="AA5" i="1"/>
  <c r="AA20" i="1"/>
  <c r="AA62" i="1" l="1"/>
  <c r="AA45" i="1"/>
  <c r="AA43" i="1"/>
  <c r="AA59" i="1"/>
  <c r="AA40" i="1"/>
  <c r="AA50" i="1"/>
  <c r="AA49" i="1"/>
  <c r="AA48" i="1"/>
  <c r="AA47" i="1"/>
  <c r="AA46" i="1"/>
  <c r="AA44" i="1"/>
  <c r="AA42" i="1"/>
  <c r="AA41" i="1"/>
  <c r="AA39" i="1"/>
  <c r="AA38" i="1"/>
  <c r="AA36" i="1"/>
  <c r="AA34" i="1"/>
  <c r="AA33" i="1"/>
  <c r="AA32" i="1"/>
  <c r="AA31" i="1"/>
  <c r="AA30" i="1"/>
  <c r="AA29" i="1"/>
  <c r="AA28" i="1"/>
  <c r="AA27" i="1"/>
  <c r="AA25" i="1"/>
  <c r="AA24" i="1"/>
  <c r="AA23" i="1"/>
  <c r="AA22" i="1"/>
  <c r="AA21" i="1"/>
  <c r="AA18" i="1"/>
  <c r="AA6" i="1"/>
  <c r="AA68" i="1" l="1"/>
  <c r="AA10" i="1"/>
  <c r="AA8" i="1"/>
  <c r="AA51" i="1" l="1"/>
  <c r="AA53" i="1" s="1"/>
  <c r="AA12" i="1"/>
  <c r="AA9" i="1" s="1"/>
  <c r="Z5" i="1"/>
  <c r="Z8" i="1" s="1"/>
  <c r="Z18" i="1"/>
  <c r="Z68" i="1"/>
  <c r="Z31" i="1"/>
  <c r="Z27" i="1"/>
  <c r="Z26" i="1"/>
  <c r="Z20" i="1"/>
  <c r="Z11" i="1"/>
  <c r="Z10" i="1" s="1"/>
  <c r="Z51" i="1" l="1"/>
  <c r="Z53" i="1" s="1"/>
  <c r="Z12" i="1"/>
  <c r="Z9" i="1" s="1"/>
  <c r="Y26" i="1"/>
  <c r="Y5" i="1"/>
  <c r="Y8" i="1" s="1"/>
  <c r="Y64" i="1"/>
  <c r="Y68" i="1" s="1"/>
  <c r="Y31" i="1"/>
  <c r="Y27" i="1"/>
  <c r="Y20" i="1"/>
  <c r="Y18" i="1"/>
  <c r="Y11" i="1"/>
  <c r="Y10" i="1" s="1"/>
  <c r="Y51" i="1" l="1"/>
  <c r="Y53" i="1" s="1"/>
  <c r="Y12" i="1"/>
  <c r="Y9" i="1" s="1"/>
  <c r="X64" i="1"/>
  <c r="X31" i="1" l="1"/>
  <c r="X27" i="1"/>
  <c r="X26" i="1"/>
  <c r="X20" i="1"/>
  <c r="X18" i="1"/>
  <c r="X5" i="1"/>
  <c r="X8" i="1" s="1"/>
  <c r="X68" i="1"/>
  <c r="X11" i="1"/>
  <c r="X10" i="1" s="1"/>
  <c r="X12" i="1" l="1"/>
  <c r="X9" i="1" s="1"/>
  <c r="X51" i="1"/>
  <c r="X53" i="1" s="1"/>
  <c r="V11" i="1" l="1"/>
  <c r="W11" i="1"/>
  <c r="U11" i="1"/>
  <c r="W26" i="1" l="1"/>
  <c r="W18" i="1"/>
  <c r="W5" i="1"/>
  <c r="W8" i="1" s="1"/>
  <c r="W31" i="1"/>
  <c r="W27" i="1"/>
  <c r="W20" i="1"/>
  <c r="W68" i="1"/>
  <c r="W10" i="1"/>
  <c r="V20" i="1"/>
  <c r="V5" i="1"/>
  <c r="W12" i="1" l="1"/>
  <c r="W9" i="1" s="1"/>
  <c r="W51" i="1"/>
  <c r="W53" i="1" s="1"/>
  <c r="V31" i="1"/>
  <c r="V27" i="1"/>
  <c r="V26" i="1"/>
  <c r="U18" i="1"/>
  <c r="V68" i="1" l="1"/>
  <c r="V51" i="1"/>
  <c r="V10" i="1"/>
  <c r="V8" i="1"/>
  <c r="U5" i="1"/>
  <c r="U8" i="1" s="1"/>
  <c r="U31" i="1"/>
  <c r="U28" i="1"/>
  <c r="U27" i="1"/>
  <c r="U26" i="1"/>
  <c r="U20" i="1"/>
  <c r="U68" i="1"/>
  <c r="U10" i="1"/>
  <c r="V12" i="1" l="1"/>
  <c r="V9" i="1" s="1"/>
  <c r="V53" i="1"/>
  <c r="U51" i="1"/>
  <c r="U53" i="1" s="1"/>
  <c r="U12" i="1"/>
  <c r="U9" i="1" s="1"/>
  <c r="T5" i="1"/>
  <c r="T26" i="1" l="1"/>
  <c r="T31" i="1" l="1"/>
  <c r="T27" i="1"/>
  <c r="T20" i="1"/>
  <c r="T68" i="1"/>
  <c r="T10" i="1"/>
  <c r="T8" i="1"/>
  <c r="T12" i="1" l="1"/>
  <c r="T9" i="1" s="1"/>
  <c r="T51" i="1"/>
  <c r="T53" i="1" s="1"/>
  <c r="R5" i="1"/>
  <c r="S18" i="1"/>
  <c r="S5" i="1"/>
  <c r="S20" i="1"/>
  <c r="R26" i="1"/>
  <c r="R31" i="1"/>
  <c r="R27" i="1"/>
  <c r="R20" i="1"/>
  <c r="R68" i="1" l="1"/>
  <c r="R51" i="1"/>
  <c r="R10" i="1"/>
  <c r="R8" i="1"/>
  <c r="S8" i="1"/>
  <c r="S26" i="1"/>
  <c r="S59" i="1"/>
  <c r="S68" i="1" s="1"/>
  <c r="S31" i="1"/>
  <c r="S27" i="1"/>
  <c r="S10" i="1"/>
  <c r="R12" i="1" l="1"/>
  <c r="R9" i="1" s="1"/>
  <c r="R53" i="1"/>
  <c r="S51" i="1"/>
  <c r="S53" i="1" s="1"/>
  <c r="S12" i="1"/>
  <c r="S9" i="1" s="1"/>
  <c r="K27" i="1"/>
  <c r="L27" i="1"/>
  <c r="M27" i="1"/>
  <c r="N27" i="1"/>
  <c r="O27" i="1"/>
  <c r="P27" i="1"/>
  <c r="Q59" i="1"/>
  <c r="Q66" i="1"/>
  <c r="M10" i="1"/>
  <c r="L10" i="1"/>
  <c r="K10" i="1"/>
  <c r="Q18" i="1" l="1"/>
  <c r="Q20" i="1"/>
  <c r="Q26" i="1"/>
  <c r="Q27" i="1" l="1"/>
  <c r="Q31" i="1" l="1"/>
  <c r="Q5" i="1"/>
  <c r="Q68" i="1" l="1"/>
  <c r="Q51" i="1"/>
  <c r="Q10" i="1"/>
  <c r="Q8" i="1"/>
  <c r="Q12" i="1" s="1"/>
  <c r="Q9" i="1" l="1"/>
  <c r="Q53" i="1"/>
  <c r="P18" i="1"/>
  <c r="P59" i="1"/>
  <c r="P5" i="1" l="1"/>
  <c r="P8" i="1" s="1"/>
  <c r="P31" i="1"/>
  <c r="P20" i="1"/>
  <c r="P68" i="1"/>
  <c r="P26" i="1"/>
  <c r="P10" i="1"/>
  <c r="P51" i="1" l="1"/>
  <c r="P53" i="1" s="1"/>
  <c r="P12" i="1"/>
  <c r="P9" i="1" s="1"/>
  <c r="O5" i="1"/>
  <c r="O31" i="1" l="1"/>
  <c r="O26" i="1"/>
  <c r="O20" i="1"/>
  <c r="O68" i="1"/>
  <c r="O10" i="1"/>
  <c r="O8" i="1"/>
  <c r="O51" i="1" l="1"/>
  <c r="O53" i="1" s="1"/>
  <c r="O12" i="1"/>
  <c r="O9" i="1" s="1"/>
  <c r="N10" i="1"/>
  <c r="N20" i="1" l="1"/>
  <c r="N63" i="1"/>
  <c r="N59" i="1"/>
  <c r="N5" i="1" l="1"/>
  <c r="N26" i="1"/>
  <c r="N61" i="1" l="1"/>
  <c r="N68" i="1" l="1"/>
  <c r="N31" i="1"/>
  <c r="N51" i="1" s="1"/>
  <c r="N8" i="1"/>
  <c r="N12" i="1" s="1"/>
  <c r="N9" i="1" s="1"/>
  <c r="N53" i="1" l="1"/>
  <c r="M31" i="1" l="1"/>
  <c r="M20" i="1"/>
  <c r="M5" i="1"/>
  <c r="M8" i="1" s="1"/>
  <c r="M68" i="1"/>
  <c r="M12" i="1" l="1"/>
  <c r="M9" i="1" s="1"/>
  <c r="M51" i="1"/>
  <c r="M53" i="1" s="1"/>
  <c r="L20" i="1" l="1"/>
  <c r="L5" i="1"/>
  <c r="L8" i="1" s="1"/>
  <c r="L68" i="1"/>
  <c r="L26" i="1"/>
  <c r="L12" i="1" l="1"/>
  <c r="L9" i="1" s="1"/>
  <c r="L51" i="1"/>
  <c r="L53" i="1" s="1"/>
  <c r="K68" i="1" l="1"/>
  <c r="K20" i="1"/>
  <c r="K26" i="1"/>
  <c r="K5" i="1"/>
  <c r="K8" i="1" s="1"/>
  <c r="K12" i="1" l="1"/>
  <c r="K9" i="1" s="1"/>
  <c r="K51" i="1"/>
  <c r="K53" i="1" s="1"/>
  <c r="J68" i="1"/>
  <c r="I68" i="1"/>
  <c r="H68" i="1" l="1"/>
  <c r="G68" i="1" l="1"/>
</calcChain>
</file>

<file path=xl/comments1.xml><?xml version="1.0" encoding="utf-8"?>
<comments xmlns="http://schemas.openxmlformats.org/spreadsheetml/2006/main">
  <authors>
    <author>Darlene Bayko</author>
    <author>Carole Bourneuf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Amount are from GF in TD and GF in Key plus amount in Contingency fund</t>
        </r>
      </text>
    </comment>
    <comment ref="AW5" authorId="1" shapeId="0">
      <text>
        <r>
          <rPr>
            <b/>
            <sz val="14"/>
            <color indexed="81"/>
            <rFont val="Tahoma"/>
            <family val="2"/>
          </rPr>
          <t>Carole Bourneuf:</t>
        </r>
        <r>
          <rPr>
            <sz val="14"/>
            <color indexed="81"/>
            <rFont val="Tahoma"/>
            <family val="2"/>
          </rPr>
          <t xml:space="preserve">
Bond payment $10,147,509.03 on 11/1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VPEC Funds rec'd - waiting to be wired to Mellon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Fund has been made whole since 11/30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
</t>
        </r>
      </text>
    </comment>
    <comment ref="M61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Fund has been made whole since 11/30</t>
        </r>
      </text>
    </comment>
    <comment ref="AW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62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Includes in PC UDAG $2,006,678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</rPr>
          <t>Darlene Bayko:</t>
        </r>
        <r>
          <rPr>
            <sz val="9"/>
            <color indexed="81"/>
            <rFont val="Tahoma"/>
            <family val="2"/>
          </rPr>
          <t xml:space="preserve">
have been made whole since 9/30</t>
        </r>
      </text>
    </comment>
    <comment ref="AW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X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Y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AZ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A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B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C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D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E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F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G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H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I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J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K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L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M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N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O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P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  <comment ref="BQ65" authorId="1" shapeId="0">
      <text>
        <r>
          <rPr>
            <b/>
            <sz val="12"/>
            <color indexed="81"/>
            <rFont val="Tahoma"/>
            <family val="2"/>
          </rPr>
          <t>Carole Bourneuf:</t>
        </r>
        <r>
          <rPr>
            <sz val="12"/>
            <color indexed="81"/>
            <rFont val="Tahoma"/>
            <family val="2"/>
          </rPr>
          <t xml:space="preserve">
Rec'd BT $162,249.15 on 11/6</t>
        </r>
      </text>
    </comment>
  </commentList>
</comments>
</file>

<file path=xl/sharedStrings.xml><?xml version="1.0" encoding="utf-8"?>
<sst xmlns="http://schemas.openxmlformats.org/spreadsheetml/2006/main" count="220" uniqueCount="141">
  <si>
    <t xml:space="preserve"> </t>
  </si>
  <si>
    <t>Fund</t>
  </si>
  <si>
    <t>Account #</t>
  </si>
  <si>
    <t>Fund Name</t>
  </si>
  <si>
    <t>Bank</t>
  </si>
  <si>
    <t>Account Description</t>
  </si>
  <si>
    <t>Amount</t>
  </si>
  <si>
    <t>General Fund</t>
  </si>
  <si>
    <t>101</t>
  </si>
  <si>
    <t>1000_175</t>
  </si>
  <si>
    <t>KeyBank</t>
  </si>
  <si>
    <t>Various</t>
  </si>
  <si>
    <t>1100_</t>
  </si>
  <si>
    <t>BT</t>
  </si>
  <si>
    <t>400</t>
  </si>
  <si>
    <t>1000_400</t>
  </si>
  <si>
    <t>Airport</t>
  </si>
  <si>
    <t>125</t>
  </si>
  <si>
    <t>1000_126</t>
  </si>
  <si>
    <t>Retirement</t>
  </si>
  <si>
    <t>TIF</t>
  </si>
  <si>
    <t>1000_701</t>
  </si>
  <si>
    <t>Capital</t>
  </si>
  <si>
    <t>1050_201</t>
  </si>
  <si>
    <t>Impact</t>
  </si>
  <si>
    <t>1100_700</t>
  </si>
  <si>
    <t>264</t>
  </si>
  <si>
    <t>1000_200</t>
  </si>
  <si>
    <t>301</t>
  </si>
  <si>
    <t>1000_300</t>
  </si>
  <si>
    <t>CEDO</t>
  </si>
  <si>
    <t>1050_425</t>
  </si>
  <si>
    <t>1050_400</t>
  </si>
  <si>
    <t>1100_450</t>
  </si>
  <si>
    <t>1000_415</t>
  </si>
  <si>
    <t>1000_420</t>
  </si>
  <si>
    <t>Peoples</t>
  </si>
  <si>
    <t>1050_491</t>
  </si>
  <si>
    <t>1050_430</t>
  </si>
  <si>
    <t>1000_600</t>
  </si>
  <si>
    <t>BCDC</t>
  </si>
  <si>
    <t>1000_603</t>
  </si>
  <si>
    <t>1000_605</t>
  </si>
  <si>
    <t>Perpetual</t>
  </si>
  <si>
    <t>1050_107</t>
  </si>
  <si>
    <t>704</t>
  </si>
  <si>
    <t>1000_700</t>
  </si>
  <si>
    <t>1050_135</t>
  </si>
  <si>
    <t>1100_503</t>
  </si>
  <si>
    <t>1100_504</t>
  </si>
  <si>
    <t>1100_505</t>
  </si>
  <si>
    <t>1100_506</t>
  </si>
  <si>
    <t>1100_507</t>
  </si>
  <si>
    <t>Totals</t>
  </si>
  <si>
    <t>Account</t>
  </si>
  <si>
    <t>Capital Fund</t>
  </si>
  <si>
    <t>1100_125</t>
  </si>
  <si>
    <t>1100_301</t>
  </si>
  <si>
    <t>1100_400</t>
  </si>
  <si>
    <t>Tax Anticipation Note  - Nothing Owed</t>
  </si>
  <si>
    <t>Total</t>
  </si>
  <si>
    <t>Marketplace</t>
  </si>
  <si>
    <t>Restricted and Assigned Cash</t>
  </si>
  <si>
    <t>Water Service</t>
  </si>
  <si>
    <t>Traffic</t>
  </si>
  <si>
    <t>1100_230</t>
  </si>
  <si>
    <t>KeyBank- 8684</t>
  </si>
  <si>
    <t>KeyBank- 7290</t>
  </si>
  <si>
    <t>KeyBank- 5340</t>
  </si>
  <si>
    <t>KeyBank- 0980</t>
  </si>
  <si>
    <t>KeyBank- 4660</t>
  </si>
  <si>
    <t>Capital Improvements Project- 8767</t>
  </si>
  <si>
    <t>Impact Fees- 8916</t>
  </si>
  <si>
    <t>Pennies for Parks- 9203</t>
  </si>
  <si>
    <t>Operating Maintenance Reserve- 9104</t>
  </si>
  <si>
    <t>2003 Debt Service Fund- 9138</t>
  </si>
  <si>
    <t>Prepaid - Debt Coverage Improvement- 9153</t>
  </si>
  <si>
    <t>Airport - CFC- 9070</t>
  </si>
  <si>
    <t>BCDC - Reserve Requirements- 8879</t>
  </si>
  <si>
    <t>BCDC - Depository- 9161</t>
  </si>
  <si>
    <t>BCDC - Restricted Cash- 0151</t>
  </si>
  <si>
    <t>Equitable Sharing- 9112</t>
  </si>
  <si>
    <t>Green Mountain Power- 9195</t>
  </si>
  <si>
    <t>1000_500</t>
  </si>
  <si>
    <t>Cemetery Depository (Restricted)- 9211</t>
  </si>
  <si>
    <t>1100_483</t>
  </si>
  <si>
    <t>KeyBank 8445</t>
  </si>
  <si>
    <t>TD/Key 5371/8775/9187</t>
  </si>
  <si>
    <t>Cash Reserve - Required by Bond Covenant- 9120</t>
  </si>
  <si>
    <t>KeyBank- 5370</t>
  </si>
  <si>
    <t>2012 ABC Construction 43-8</t>
  </si>
  <si>
    <t>A</t>
  </si>
  <si>
    <t>Days Cash On Hand</t>
  </si>
  <si>
    <t>Operating Expense</t>
  </si>
  <si>
    <t>Cash on Hand</t>
  </si>
  <si>
    <t>1050_496</t>
  </si>
  <si>
    <t>Traffic - Depository- 9088 &amp; 8932, 5716</t>
  </si>
  <si>
    <t>AIP Deposit Account - 9575</t>
  </si>
  <si>
    <t>1310_100</t>
  </si>
  <si>
    <t>Capital Markets</t>
  </si>
  <si>
    <t>Last Year's Cash On Hand</t>
  </si>
  <si>
    <t>GAN AIP Deposit Account 9583</t>
  </si>
  <si>
    <t>Retirement - Disbursements 8684</t>
  </si>
  <si>
    <t>Water, Wastewater, Storm - Depository 8676</t>
  </si>
  <si>
    <t xml:space="preserve"> TIF 8965</t>
  </si>
  <si>
    <t>Lolita Deming Estate 0980</t>
  </si>
  <si>
    <t>Christmas Account Fund 5340</t>
  </si>
  <si>
    <t>Cash Firemen's Relief Trust 5370</t>
  </si>
  <si>
    <t>Firemen Fund 4660</t>
  </si>
  <si>
    <t>Cemetery Perpetual Care Fund (Restricted) located in Capital Markets #3529</t>
  </si>
  <si>
    <t>General Fund Investment Account located in Capital Markets #9346</t>
  </si>
  <si>
    <t>BCDC  - Reserve Requirement- 8879</t>
  </si>
  <si>
    <t>Walter Carpenter Fund 7290</t>
  </si>
  <si>
    <t>General Fund Investment - Short Term Investment 180 days</t>
  </si>
  <si>
    <t>Available Cash &amp; Short -Term Investments</t>
  </si>
  <si>
    <t>Water Fund Investment - Short Term Investment 180 days</t>
  </si>
  <si>
    <t xml:space="preserve">KeyBank </t>
  </si>
  <si>
    <t>KeyBank- 9146</t>
  </si>
  <si>
    <t>Airport - Depository 9146</t>
  </si>
  <si>
    <t>C</t>
  </si>
  <si>
    <t>Air PFC (Passenger Facility Charges)- 9096</t>
  </si>
  <si>
    <t>Annual Operating Expense</t>
  </si>
  <si>
    <t>Interfund Loan Balances</t>
  </si>
  <si>
    <t xml:space="preserve"> Retirement Fund (125)</t>
  </si>
  <si>
    <t>Church Street Marketplace (230)</t>
  </si>
  <si>
    <t xml:space="preserve"> Community &amp; Economic Dev. Fund (301)</t>
  </si>
  <si>
    <t xml:space="preserve"> Airport Fund (400)</t>
  </si>
  <si>
    <t>Water, Wastewater &amp; Storm (245,460,461,480,481)</t>
  </si>
  <si>
    <t xml:space="preserve"> Burlington Telecom (483)</t>
  </si>
  <si>
    <t>BCDC (603)</t>
  </si>
  <si>
    <t>Interfund Bal</t>
  </si>
  <si>
    <r>
      <t xml:space="preserve">Sweep Accounts &amp; Other Bank Accounts </t>
    </r>
    <r>
      <rPr>
        <sz val="28"/>
        <color theme="6" tint="-0.249977111117893"/>
        <rFont val="Times New Roman"/>
        <family val="1"/>
      </rPr>
      <t>[UNAUDITED]</t>
    </r>
  </si>
  <si>
    <r>
      <t>Positive Amounts owe to the Sweep Account [</t>
    </r>
    <r>
      <rPr>
        <b/>
        <sz val="28"/>
        <color theme="6" tint="-0.249977111117893"/>
        <rFont val="Times New Roman"/>
        <family val="1"/>
      </rPr>
      <t>FINAL RECONCILATION AND TRUE-UPS DOWN WITH YEAR END AUDIT]</t>
    </r>
  </si>
  <si>
    <t>Cap Mkt 9346</t>
  </si>
  <si>
    <t>Traffic (264, 265, 764)</t>
  </si>
  <si>
    <t>264, 265, 764</t>
  </si>
  <si>
    <t>Sweep - Main Operating (5371/8775/3932/9187)</t>
  </si>
  <si>
    <t>Bank Account (s)- 2140,3534,7866,2015,4557,9179,1231,6115,9740,9732,9732</t>
  </si>
  <si>
    <t>Cash slightly increase due to a maturity on a City Investment &amp; reimbursement from the Retirement Fund</t>
  </si>
  <si>
    <t>Stability Bond Proceeds (8445) (Bond 192)</t>
  </si>
  <si>
    <t>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</si>
</sst>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8"/>
      <color theme="1"/>
      <name val="Times New Roman"/>
      <family val="1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28"/>
      <color theme="1"/>
      <name val="Times New Roman"/>
      <family val="1"/>
    </font>
    <font>
      <sz val="28"/>
      <color theme="6" tint="-0.249977111117893"/>
      <name val="Times New Roman"/>
      <family val="1"/>
    </font>
    <font>
      <sz val="28"/>
      <name val="Times New Roman"/>
      <family val="1"/>
    </font>
    <font>
      <b/>
      <sz val="28"/>
      <color theme="6" tint="-0.249977111117893"/>
      <name val="Times New Roman"/>
      <family val="1"/>
    </font>
    <font>
      <b/>
      <sz val="2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9">
    <xf numFmtId="0" fontId="0" fillId="0" borderId="0" xfId="0"/>
    <xf numFmtId="0" fontId="6" fillId="2" borderId="0" xfId="0" applyFont="1" applyFill="1" applyAlignment="1">
      <alignment horizontal="left"/>
    </xf>
    <xf numFmtId="0" fontId="11" fillId="2" borderId="0" xfId="0" applyFont="1" applyFill="1"/>
    <xf numFmtId="43" fontId="6" fillId="2" borderId="0" xfId="1" applyFont="1" applyFill="1"/>
    <xf numFmtId="0" fontId="6" fillId="2" borderId="0" xfId="0" applyFont="1" applyFill="1"/>
    <xf numFmtId="14" fontId="11" fillId="2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6" fillId="0" borderId="0" xfId="0" applyFont="1" applyFill="1" applyBorder="1"/>
    <xf numFmtId="0" fontId="6" fillId="2" borderId="0" xfId="0" applyFont="1" applyFill="1" applyAlignment="1">
      <alignment horizontal="center"/>
    </xf>
    <xf numFmtId="14" fontId="11" fillId="2" borderId="7" xfId="0" applyNumberFormat="1" applyFont="1" applyFill="1" applyBorder="1" applyAlignment="1">
      <alignment horizontal="center"/>
    </xf>
    <xf numFmtId="14" fontId="11" fillId="0" borderId="7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164" fontId="11" fillId="2" borderId="2" xfId="1" applyNumberFormat="1" applyFont="1" applyFill="1" applyBorder="1"/>
    <xf numFmtId="164" fontId="6" fillId="2" borderId="2" xfId="1" applyNumberFormat="1" applyFont="1" applyFill="1" applyBorder="1"/>
    <xf numFmtId="0" fontId="6" fillId="0" borderId="12" xfId="0" applyFont="1" applyFill="1" applyBorder="1"/>
    <xf numFmtId="165" fontId="6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64" fontId="6" fillId="0" borderId="2" xfId="1" applyNumberFormat="1" applyFont="1" applyFill="1" applyBorder="1"/>
    <xf numFmtId="164" fontId="6" fillId="0" borderId="1" xfId="1" applyNumberFormat="1" applyFont="1" applyFill="1" applyBorder="1"/>
    <xf numFmtId="164" fontId="6" fillId="2" borderId="3" xfId="1" applyNumberFormat="1" applyFont="1" applyFill="1" applyBorder="1"/>
    <xf numFmtId="164" fontId="6" fillId="0" borderId="3" xfId="1" applyNumberFormat="1" applyFont="1" applyFill="1" applyBorder="1"/>
    <xf numFmtId="164" fontId="6" fillId="0" borderId="9" xfId="1" applyNumberFormat="1" applyFont="1" applyFill="1" applyBorder="1"/>
    <xf numFmtId="164" fontId="6" fillId="2" borderId="9" xfId="1" applyNumberFormat="1" applyFont="1" applyFill="1" applyBorder="1"/>
    <xf numFmtId="164" fontId="6" fillId="0" borderId="13" xfId="1" applyNumberFormat="1" applyFont="1" applyFill="1" applyBorder="1"/>
    <xf numFmtId="164" fontId="6" fillId="2" borderId="10" xfId="1" applyNumberFormat="1" applyFont="1" applyFill="1" applyBorder="1"/>
    <xf numFmtId="164" fontId="6" fillId="0" borderId="10" xfId="1" applyNumberFormat="1" applyFont="1" applyFill="1" applyBorder="1"/>
    <xf numFmtId="164" fontId="11" fillId="2" borderId="4" xfId="1" applyNumberFormat="1" applyFont="1" applyFill="1" applyBorder="1"/>
    <xf numFmtId="164" fontId="11" fillId="3" borderId="4" xfId="1" applyNumberFormat="1" applyFont="1" applyFill="1" applyBorder="1"/>
    <xf numFmtId="164" fontId="11" fillId="3" borderId="11" xfId="1" applyNumberFormat="1" applyFont="1" applyFill="1" applyBorder="1"/>
    <xf numFmtId="164" fontId="11" fillId="3" borderId="6" xfId="1" applyNumberFormat="1" applyFont="1" applyFill="1" applyBorder="1"/>
    <xf numFmtId="164" fontId="11" fillId="0" borderId="6" xfId="1" applyNumberFormat="1" applyFont="1" applyFill="1" applyBorder="1"/>
    <xf numFmtId="164" fontId="11" fillId="2" borderId="6" xfId="1" applyNumberFormat="1" applyFont="1" applyFill="1" applyBorder="1"/>
    <xf numFmtId="164" fontId="11" fillId="0" borderId="14" xfId="1" applyNumberFormat="1" applyFont="1" applyFill="1" applyBorder="1"/>
    <xf numFmtId="164" fontId="11" fillId="2" borderId="10" xfId="1" applyNumberFormat="1" applyFont="1" applyFill="1" applyBorder="1"/>
    <xf numFmtId="164" fontId="11" fillId="3" borderId="10" xfId="1" applyNumberFormat="1" applyFont="1" applyFill="1" applyBorder="1"/>
    <xf numFmtId="164" fontId="11" fillId="0" borderId="10" xfId="1" applyNumberFormat="1" applyFont="1" applyFill="1" applyBorder="1"/>
    <xf numFmtId="164" fontId="11" fillId="0" borderId="18" xfId="1" applyNumberFormat="1" applyFont="1" applyFill="1" applyBorder="1"/>
    <xf numFmtId="43" fontId="11" fillId="3" borderId="10" xfId="1" applyNumberFormat="1" applyFont="1" applyFill="1" applyBorder="1"/>
    <xf numFmtId="43" fontId="11" fillId="0" borderId="10" xfId="1" applyNumberFormat="1" applyFont="1" applyFill="1" applyBorder="1"/>
    <xf numFmtId="43" fontId="11" fillId="0" borderId="15" xfId="1" applyNumberFormat="1" applyFont="1" applyFill="1" applyBorder="1"/>
    <xf numFmtId="164" fontId="11" fillId="0" borderId="15" xfId="1" applyNumberFormat="1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5" xfId="1" applyNumberFormat="1" applyFont="1" applyFill="1" applyBorder="1"/>
    <xf numFmtId="164" fontId="11" fillId="0" borderId="5" xfId="1" applyNumberFormat="1" applyFont="1" applyFill="1" applyBorder="1"/>
    <xf numFmtId="164" fontId="11" fillId="2" borderId="5" xfId="1" applyNumberFormat="1" applyFont="1" applyFill="1" applyBorder="1"/>
    <xf numFmtId="164" fontId="6" fillId="0" borderId="8" xfId="1" applyNumberFormat="1" applyFont="1" applyFill="1" applyBorder="1"/>
    <xf numFmtId="0" fontId="13" fillId="2" borderId="1" xfId="0" applyFont="1" applyFill="1" applyBorder="1"/>
    <xf numFmtId="164" fontId="6" fillId="4" borderId="2" xfId="1" applyNumberFormat="1" applyFont="1" applyFill="1" applyBorder="1"/>
    <xf numFmtId="164" fontId="6" fillId="4" borderId="1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64" fontId="11" fillId="0" borderId="4" xfId="1" applyNumberFormat="1" applyFont="1" applyFill="1" applyBorder="1"/>
    <xf numFmtId="164" fontId="11" fillId="0" borderId="16" xfId="1" applyNumberFormat="1" applyFont="1" applyFill="1" applyBorder="1"/>
    <xf numFmtId="0" fontId="11" fillId="2" borderId="8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Border="1"/>
    <xf numFmtId="164" fontId="11" fillId="2" borderId="0" xfId="1" applyNumberFormat="1" applyFont="1" applyFill="1" applyBorder="1"/>
    <xf numFmtId="164" fontId="11" fillId="0" borderId="0" xfId="1" applyNumberFormat="1" applyFont="1" applyFill="1" applyBorder="1"/>
    <xf numFmtId="14" fontId="11" fillId="0" borderId="0" xfId="0" applyNumberFormat="1" applyFont="1" applyFill="1" applyAlignment="1">
      <alignment horizontal="center"/>
    </xf>
    <xf numFmtId="14" fontId="11" fillId="0" borderId="17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7" fontId="11" fillId="2" borderId="2" xfId="0" applyNumberFormat="1" applyFont="1" applyFill="1" applyBorder="1" applyAlignment="1">
      <alignment horizontal="center"/>
    </xf>
    <xf numFmtId="37" fontId="13" fillId="2" borderId="2" xfId="0" applyNumberFormat="1" applyFont="1" applyFill="1" applyBorder="1" applyAlignment="1">
      <alignment horizontal="center"/>
    </xf>
    <xf numFmtId="37" fontId="13" fillId="0" borderId="2" xfId="0" applyNumberFormat="1" applyFont="1" applyFill="1" applyBorder="1" applyAlignment="1">
      <alignment horizontal="center"/>
    </xf>
    <xf numFmtId="37" fontId="13" fillId="0" borderId="1" xfId="0" applyNumberFormat="1" applyFont="1" applyFill="1" applyBorder="1" applyAlignment="1">
      <alignment horizontal="center"/>
    </xf>
    <xf numFmtId="37" fontId="13" fillId="4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7" fontId="15" fillId="2" borderId="6" xfId="0" applyNumberFormat="1" applyFont="1" applyFill="1" applyBorder="1" applyAlignment="1">
      <alignment horizontal="center"/>
    </xf>
    <xf numFmtId="37" fontId="15" fillId="0" borderId="6" xfId="0" applyNumberFormat="1" applyFont="1" applyFill="1" applyBorder="1" applyAlignment="1">
      <alignment horizontal="center"/>
    </xf>
    <xf numFmtId="37" fontId="15" fillId="0" borderId="14" xfId="0" applyNumberFormat="1" applyFont="1" applyFill="1" applyBorder="1" applyAlignment="1">
      <alignment horizont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164" fontId="11" fillId="0" borderId="19" xfId="1" applyNumberFormat="1" applyFont="1" applyFill="1" applyBorder="1"/>
    <xf numFmtId="37" fontId="15" fillId="4" borderId="14" xfId="0" applyNumberFormat="1" applyFont="1" applyFill="1" applyBorder="1" applyAlignment="1">
      <alignment horizontal="center"/>
    </xf>
    <xf numFmtId="165" fontId="11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S83"/>
  <sheetViews>
    <sheetView tabSelected="1" zoomScale="38" zoomScaleNormal="38" workbookViewId="0">
      <pane xSplit="6" topLeftCell="BI1" activePane="topRight" state="frozen"/>
      <selection activeCell="F1" sqref="F1"/>
      <selection pane="topRight" activeCell="F16" sqref="F16"/>
    </sheetView>
  </sheetViews>
  <sheetFormatPr defaultColWidth="8.85546875" defaultRowHeight="35.25" x14ac:dyDescent="0.5"/>
  <cols>
    <col min="1" max="1" width="8.85546875" style="4" customWidth="1"/>
    <col min="2" max="2" width="50.42578125" style="4" customWidth="1"/>
    <col min="3" max="3" width="35.140625" style="4" hidden="1" customWidth="1"/>
    <col min="4" max="4" width="27.28515625" style="4" customWidth="1"/>
    <col min="5" max="5" width="50.7109375" style="4" customWidth="1"/>
    <col min="6" max="6" width="195.42578125" style="4" customWidth="1"/>
    <col min="7" max="7" width="32.5703125" style="4" customWidth="1"/>
    <col min="8" max="8" width="33.140625" style="4" customWidth="1"/>
    <col min="9" max="9" width="26.85546875" style="4" customWidth="1"/>
    <col min="10" max="17" width="26.85546875" style="6" customWidth="1"/>
    <col min="18" max="18" width="26.7109375" style="7" customWidth="1"/>
    <col min="19" max="26" width="26.85546875" style="6" customWidth="1"/>
    <col min="27" max="29" width="26.85546875" style="7" customWidth="1"/>
    <col min="30" max="33" width="30.7109375" style="7" customWidth="1"/>
    <col min="34" max="36" width="33.5703125" style="7" customWidth="1"/>
    <col min="37" max="37" width="25.5703125" style="7" customWidth="1"/>
    <col min="38" max="41" width="26.140625" style="7" customWidth="1"/>
    <col min="42" max="43" width="25.5703125" style="7" customWidth="1"/>
    <col min="44" max="46" width="33.5703125" style="7" customWidth="1"/>
    <col min="47" max="47" width="26.85546875" style="7" customWidth="1"/>
    <col min="48" max="48" width="37.28515625" style="7" customWidth="1"/>
    <col min="49" max="49" width="41" style="7" customWidth="1"/>
    <col min="50" max="50" width="29.85546875" style="7" customWidth="1"/>
    <col min="51" max="53" width="36.28515625" style="7" customWidth="1"/>
    <col min="54" max="56" width="40.42578125" style="7" customWidth="1"/>
    <col min="57" max="59" width="31.7109375" style="7" customWidth="1"/>
    <col min="60" max="60" width="40.42578125" style="7" customWidth="1"/>
    <col min="61" max="61" width="40.42578125" style="7" hidden="1" customWidth="1"/>
    <col min="62" max="62" width="31.7109375" style="7" hidden="1" customWidth="1"/>
    <col min="63" max="65" width="40.42578125" style="7" hidden="1" customWidth="1"/>
    <col min="66" max="69" width="40.42578125" style="7" customWidth="1"/>
    <col min="70" max="70" width="60.7109375" style="4" customWidth="1"/>
    <col min="71" max="71" width="40.5703125" style="4" customWidth="1"/>
    <col min="72" max="16384" width="8.85546875" style="4"/>
  </cols>
  <sheetData>
    <row r="1" spans="2:71" x14ac:dyDescent="0.5">
      <c r="B1" s="85" t="s">
        <v>131</v>
      </c>
      <c r="C1" s="85"/>
      <c r="D1" s="85"/>
      <c r="E1" s="85"/>
      <c r="F1" s="85"/>
      <c r="G1" s="5"/>
      <c r="H1" s="5"/>
      <c r="I1" s="5"/>
    </row>
    <row r="2" spans="2:71" x14ac:dyDescent="0.5">
      <c r="B2" s="8"/>
      <c r="C2" s="8"/>
      <c r="D2" s="8"/>
      <c r="E2" s="8"/>
      <c r="F2" s="8"/>
      <c r="G2" s="5"/>
      <c r="H2" s="5"/>
      <c r="I2" s="5"/>
    </row>
    <row r="3" spans="2:71" x14ac:dyDescent="0.5">
      <c r="C3" s="1"/>
      <c r="D3" s="1"/>
      <c r="E3" s="1"/>
      <c r="G3" s="5">
        <v>42173</v>
      </c>
      <c r="H3" s="5">
        <v>42185</v>
      </c>
      <c r="I3" s="5">
        <v>42216</v>
      </c>
      <c r="J3" s="9">
        <v>42247</v>
      </c>
      <c r="K3" s="9">
        <v>42277</v>
      </c>
      <c r="L3" s="9">
        <v>42308</v>
      </c>
      <c r="M3" s="9">
        <v>42338</v>
      </c>
      <c r="N3" s="9">
        <v>42368</v>
      </c>
      <c r="O3" s="9">
        <v>42400</v>
      </c>
      <c r="P3" s="9">
        <v>42429</v>
      </c>
      <c r="Q3" s="9">
        <v>42460</v>
      </c>
      <c r="R3" s="10">
        <v>42490</v>
      </c>
      <c r="S3" s="9">
        <v>42521</v>
      </c>
      <c r="T3" s="9">
        <v>42551</v>
      </c>
      <c r="U3" s="9">
        <v>42582</v>
      </c>
      <c r="V3" s="9">
        <v>42613</v>
      </c>
      <c r="W3" s="9">
        <v>42643</v>
      </c>
      <c r="X3" s="9">
        <v>42674</v>
      </c>
      <c r="Y3" s="9">
        <v>42704</v>
      </c>
      <c r="Z3" s="9">
        <v>42735</v>
      </c>
      <c r="AA3" s="10">
        <v>42766</v>
      </c>
      <c r="AB3" s="10">
        <v>42794</v>
      </c>
      <c r="AC3" s="10">
        <v>42825</v>
      </c>
      <c r="AD3" s="10">
        <v>42855</v>
      </c>
      <c r="AE3" s="10">
        <v>42886</v>
      </c>
      <c r="AF3" s="10">
        <v>42916</v>
      </c>
      <c r="AG3" s="10">
        <v>42947</v>
      </c>
      <c r="AH3" s="10">
        <v>42978</v>
      </c>
      <c r="AI3" s="10">
        <v>43008</v>
      </c>
      <c r="AJ3" s="10">
        <v>43039</v>
      </c>
      <c r="AK3" s="10">
        <v>43069</v>
      </c>
      <c r="AL3" s="10">
        <v>43100</v>
      </c>
      <c r="AM3" s="10">
        <v>43131</v>
      </c>
      <c r="AN3" s="10">
        <v>43159</v>
      </c>
      <c r="AO3" s="10">
        <v>43190</v>
      </c>
      <c r="AP3" s="10">
        <v>43220</v>
      </c>
      <c r="AQ3" s="10">
        <v>43251</v>
      </c>
      <c r="AR3" s="10">
        <v>43281</v>
      </c>
      <c r="AS3" s="10">
        <v>43312</v>
      </c>
      <c r="AT3" s="10">
        <v>43343</v>
      </c>
      <c r="AU3" s="10">
        <v>43373</v>
      </c>
      <c r="AV3" s="10">
        <v>43404</v>
      </c>
      <c r="AW3" s="10">
        <v>43434</v>
      </c>
      <c r="AX3" s="10">
        <v>43465</v>
      </c>
      <c r="AY3" s="10">
        <v>43496</v>
      </c>
      <c r="AZ3" s="10">
        <v>43524</v>
      </c>
      <c r="BA3" s="10">
        <v>43555</v>
      </c>
      <c r="BB3" s="10">
        <v>43585</v>
      </c>
      <c r="BC3" s="10">
        <v>43616</v>
      </c>
      <c r="BD3" s="10">
        <v>43646</v>
      </c>
      <c r="BE3" s="10">
        <v>43677</v>
      </c>
      <c r="BF3" s="10">
        <v>43708</v>
      </c>
      <c r="BG3" s="10">
        <v>43738</v>
      </c>
      <c r="BH3" s="10">
        <v>43769</v>
      </c>
      <c r="BI3" s="10">
        <v>43799</v>
      </c>
      <c r="BJ3" s="10">
        <v>43830</v>
      </c>
      <c r="BK3" s="10">
        <v>43861</v>
      </c>
      <c r="BL3" s="10">
        <v>43890</v>
      </c>
      <c r="BM3" s="10">
        <v>43921</v>
      </c>
      <c r="BN3" s="10">
        <v>43951</v>
      </c>
      <c r="BO3" s="10">
        <v>43982</v>
      </c>
      <c r="BP3" s="10">
        <v>44012</v>
      </c>
      <c r="BQ3" s="10">
        <v>44043</v>
      </c>
    </row>
    <row r="4" spans="2:71" x14ac:dyDescent="0.5">
      <c r="B4" s="11" t="s">
        <v>1</v>
      </c>
      <c r="C4" s="12" t="s">
        <v>2</v>
      </c>
      <c r="D4" s="12" t="s">
        <v>3</v>
      </c>
      <c r="E4" s="12" t="s">
        <v>4</v>
      </c>
      <c r="F4" s="11" t="s">
        <v>5</v>
      </c>
      <c r="G4" s="13" t="s">
        <v>6</v>
      </c>
      <c r="H4" s="13" t="s">
        <v>6</v>
      </c>
      <c r="I4" s="14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/>
    </row>
    <row r="5" spans="2:71" x14ac:dyDescent="0.5">
      <c r="B5" s="17">
        <v>101</v>
      </c>
      <c r="C5" s="18"/>
      <c r="D5" s="18" t="s">
        <v>7</v>
      </c>
      <c r="E5" s="18" t="s">
        <v>87</v>
      </c>
      <c r="F5" s="19" t="s">
        <v>136</v>
      </c>
      <c r="G5" s="14">
        <f>1252562.4+6290829.96+610600-1123248+85474+52161.64-338051</f>
        <v>6830328.9999999991</v>
      </c>
      <c r="H5" s="14">
        <f>3630654.45+3408361.82+75677-381367+39853.39</f>
        <v>6773179.6599999992</v>
      </c>
      <c r="I5" s="14">
        <v>3703558</v>
      </c>
      <c r="J5" s="14">
        <v>4808966</v>
      </c>
      <c r="K5" s="14">
        <f>1803945.45+1992413+4823</f>
        <v>3801181.45</v>
      </c>
      <c r="L5" s="14">
        <f>4499571.36+1952811.79+4822.72</f>
        <v>6457205.8700000001</v>
      </c>
      <c r="M5" s="14">
        <f>489519.83+1450535.41</f>
        <v>1940055.24</v>
      </c>
      <c r="N5" s="14">
        <f>1976583.21+707423.86-391702</f>
        <v>2292305.0699999998</v>
      </c>
      <c r="O5" s="14">
        <f>1716861.4+830538.69-504375.42</f>
        <v>2043024.67</v>
      </c>
      <c r="P5" s="14">
        <f>660950.06+1813620.01-123106.75-305512.5</f>
        <v>2045950.8200000003</v>
      </c>
      <c r="Q5" s="14">
        <f>1373444.96+1984769.76</f>
        <v>3358214.7199999997</v>
      </c>
      <c r="R5" s="20">
        <f>467025.62+605337.3+166965.13</f>
        <v>1239328.0499999998</v>
      </c>
      <c r="S5" s="14">
        <f>155069.4+5350952.01-227114.53+163612.88-1844642.48</f>
        <v>3597877.28</v>
      </c>
      <c r="T5" s="14">
        <f>515777.32+2120987.42+5567405.38-61180+2026488</f>
        <v>10169478.119999999</v>
      </c>
      <c r="U5" s="14">
        <f>694942.27+3524762.75+4067405.38-134504.48</f>
        <v>8152605.919999999</v>
      </c>
      <c r="V5" s="14">
        <f>1109061.88+4295299.96+2926321.99-533972.87</f>
        <v>7796710.96</v>
      </c>
      <c r="W5" s="14">
        <f>1141721.4+1019492.06+2926321.99-450831.35-237535.22</f>
        <v>4399168.8800000008</v>
      </c>
      <c r="X5" s="14">
        <f>293214.01+7599744</f>
        <v>7892958.0099999998</v>
      </c>
      <c r="Y5" s="14">
        <f>870026.74+2872516.55+2284487.85+16500000-258601.18</f>
        <v>22268429.960000001</v>
      </c>
      <c r="Z5" s="14">
        <f>455836.72+1852972.29+3598507.8-233776.09+186169</f>
        <v>5859709.7199999997</v>
      </c>
      <c r="AA5" s="20">
        <f>859178.29+2895844.57+2598507.8-435374.52-87784.34</f>
        <v>5830371.8000000007</v>
      </c>
      <c r="AB5" s="20">
        <f>291981.69+1997936.93+2598507.8-156939.36+385590.36+478906.08+336933.32</f>
        <v>5932916.8200000003</v>
      </c>
      <c r="AC5" s="20">
        <f>314114.66+2440385.14+3201991.7+39280.61-120676.26-16156.8-3295.34</f>
        <v>5855643.7100000009</v>
      </c>
      <c r="AD5" s="20">
        <f>595141.47+12054176.84+236985.2-43035.82+462707.79</f>
        <v>13305975.479999999</v>
      </c>
      <c r="AE5" s="14">
        <f>305779.84+6752067.22+2000000-189046.23+361590.97+267804.22</f>
        <v>9498196.0199999996</v>
      </c>
      <c r="AF5" s="20">
        <f>59730.23+3844985.66+9910030.04+89412.22-19697.68-84090.73</f>
        <v>13800369.74</v>
      </c>
      <c r="AG5" s="20">
        <f>67309.79+4734295.08+9910030.04+74027.16+101288.33+146810.5</f>
        <v>15033760.9</v>
      </c>
      <c r="AH5" s="20">
        <f>141554.21+5022699.71+7483276.36-426215.63-90137.78+302027</f>
        <v>12433203.870000001</v>
      </c>
      <c r="AI5" s="20">
        <f>114630.09+1811170.87+5483276.36+626836.44+100632.8-271289.11</f>
        <v>7865257.4499999993</v>
      </c>
      <c r="AJ5" s="20">
        <f>26064.83+12752722+3483276.36+55332.17-106726.91-249977.55</f>
        <v>15960690.899999999</v>
      </c>
      <c r="AK5" s="20">
        <f>96929.55+4280839.39+4283944.98+49994.46-174385.49+851239.32</f>
        <v>9388562.2100000009</v>
      </c>
      <c r="AL5" s="20">
        <f>89069.11+8900175.33+2683944.98+460654.57-6080.24+618147.04</f>
        <v>12745910.789999999</v>
      </c>
      <c r="AM5" s="20">
        <f>71916.14+6139600.57+4683944.98+16126.33-328626.16-789501.58</f>
        <v>9793460.2800000012</v>
      </c>
      <c r="AN5" s="20">
        <f>59763.78+8133681.96+4183944.98-204482.35+164.48+84769.68</f>
        <v>12257842.530000001</v>
      </c>
      <c r="AO5" s="20">
        <f>161060.25+4410521.91+2250893.79+235.03+114990.55</f>
        <v>6937701.5300000003</v>
      </c>
      <c r="AP5" s="20">
        <f>67135.83+6344267.2+2250893.79-142871.82-89125.78+62982.51</f>
        <v>8493281.7300000004</v>
      </c>
      <c r="AQ5" s="20">
        <f>193716.73+24589930.12+2250893.79-127751.26-7820.75+260316.39</f>
        <v>27159285.02</v>
      </c>
      <c r="AR5" s="20">
        <f>1444.39+14880387.58+5926442.75+99008-44288.02+105438.35</f>
        <v>20968433.050000001</v>
      </c>
      <c r="AS5" s="20">
        <f>148689.25+15503582.22+5926442.75-342878.21-82185.15+1421223.13</f>
        <v>22574873.989999998</v>
      </c>
      <c r="AT5" s="20">
        <f>1425.78+16240657.94+5930437+119711.38-13596.74+684275.43</f>
        <v>22962910.789999999</v>
      </c>
      <c r="AU5" s="20">
        <f>106723.29+10859676.57+5930437+19640.33+381850.49+19183.61</f>
        <v>17317511.289999995</v>
      </c>
      <c r="AV5" s="20">
        <f>21075.92+12856156.49+9930437-95914.61-607735.57-223219.54</f>
        <v>21880799.690000001</v>
      </c>
      <c r="AW5" s="21">
        <f>81867.57+8420018.38+6973905.27+13258.4-188003.5+243032.57</f>
        <v>15544078.690000001</v>
      </c>
      <c r="AX5" s="21">
        <f>147118.26+4243131.02+5973905.27+50161.06+56617.64+225929.06</f>
        <v>10696862.310000001</v>
      </c>
      <c r="AY5" s="21">
        <f>148.67+11094964.38+5973905.27+20123.98-619913.01-33097.98</f>
        <v>16436131.310000001</v>
      </c>
      <c r="AZ5" s="21">
        <f>53089.81+4747203.64+14973905.27+250709.58-478157.58+57357.42</f>
        <v>19604108.140000001</v>
      </c>
      <c r="BA5" s="21">
        <f>117355.71+3254310.32+7056605.58+15040.51+56986.65+388078.59</f>
        <v>10888377.359999999</v>
      </c>
      <c r="BB5" s="21">
        <f>187021.43+6844043.5+4056605.58+17769.87-109381.9+136464.94</f>
        <v>11132523.419999998</v>
      </c>
      <c r="BC5" s="21">
        <f>261493.08+5330705.99+3556605.58+2471.54-210800.84+251323.63</f>
        <v>9191798.9800000004</v>
      </c>
      <c r="BD5" s="21">
        <f>339790+18460767.99+4966615.6-134190.73-231275.06+22822.34</f>
        <v>23424530.139999997</v>
      </c>
      <c r="BE5" s="21">
        <f>9789730.19+86575.91+7966615.6+2930.48+563304.82+31413.67</f>
        <v>18440570.670000002</v>
      </c>
      <c r="BF5" s="21">
        <f>166587.78+9695498.61+10520756.19+94904.73+170197.02+971788.94+2750000</f>
        <v>24369733.27</v>
      </c>
      <c r="BG5" s="21">
        <f>239581.08+2994048.97+6520756.19+1639231.53+162747.91+178285.22+2750000</f>
        <v>14484650.9</v>
      </c>
      <c r="BH5" s="21">
        <f>315758.61+18755359.03+11-42000-103158.07-12478.82+2750000</f>
        <v>21663491.75</v>
      </c>
      <c r="BI5" s="21">
        <f>372675.26+7740166.5+6419925.98+84501.04+890554.36-2511689.63+3205000</f>
        <v>16201133.509999998</v>
      </c>
      <c r="BJ5" s="21">
        <f>427802.55+16117304.9+6419925.98+2435.15</f>
        <v>22967468.579999998</v>
      </c>
      <c r="BK5" s="21">
        <f>67435.56+9931441.36+6419925.98</f>
        <v>16418802.9</v>
      </c>
      <c r="BL5" s="21">
        <f>111066.37+5615804.14+12919925.98+99837.18-19391.86</f>
        <v>18727241.810000002</v>
      </c>
      <c r="BM5" s="21">
        <f>148512.5+1497296.93+2997602.79+7317332.96+111799.76+310642.41</f>
        <v>12383187.35</v>
      </c>
      <c r="BN5" s="21">
        <f>150808.41+3935329.09+10789217.06+1817332.96+66402.57+737164.53</f>
        <v>17496254.620000001</v>
      </c>
      <c r="BO5" s="21">
        <f>150259.21+1955455.14+10475692.22+1817332.96+2487.77+418123.69</f>
        <v>14819350.99</v>
      </c>
      <c r="BP5" s="21">
        <f>172840.7+2496348.18+9442480.85+4843172.57+93991.97+504429.33+1707616.58</f>
        <v>19260880.18</v>
      </c>
      <c r="BQ5" s="21">
        <f>211677.38+2698750.85+29626857.25+9843172.57-261809.89+150228.89+78082.14</f>
        <v>42346959.189999998</v>
      </c>
      <c r="BR5" s="16" t="s">
        <v>0</v>
      </c>
    </row>
    <row r="6" spans="2:71" ht="36" thickBot="1" x14ac:dyDescent="0.55000000000000004">
      <c r="B6" s="17" t="s">
        <v>8</v>
      </c>
      <c r="C6" s="18" t="s">
        <v>9</v>
      </c>
      <c r="D6" s="18" t="s">
        <v>7</v>
      </c>
      <c r="E6" s="18" t="s">
        <v>86</v>
      </c>
      <c r="F6" s="19" t="s">
        <v>139</v>
      </c>
      <c r="G6" s="22">
        <v>8927122.5</v>
      </c>
      <c r="H6" s="22">
        <v>8927123</v>
      </c>
      <c r="I6" s="22">
        <v>8927123</v>
      </c>
      <c r="J6" s="22">
        <v>8927123</v>
      </c>
      <c r="K6" s="22">
        <v>8927123</v>
      </c>
      <c r="L6" s="22">
        <v>6927122.5</v>
      </c>
      <c r="M6" s="22">
        <v>6927122.5</v>
      </c>
      <c r="N6" s="22">
        <v>5927122.5</v>
      </c>
      <c r="O6" s="22">
        <v>4927122.5</v>
      </c>
      <c r="P6" s="22">
        <v>2927122.5</v>
      </c>
      <c r="Q6" s="22">
        <v>2927122.5</v>
      </c>
      <c r="R6" s="23">
        <v>3090560.68</v>
      </c>
      <c r="S6" s="22">
        <v>2994527.88</v>
      </c>
      <c r="T6" s="22">
        <v>8927122.5</v>
      </c>
      <c r="U6" s="22">
        <v>8927122.5</v>
      </c>
      <c r="V6" s="22">
        <v>8927122.5</v>
      </c>
      <c r="W6" s="22">
        <v>8927122.5</v>
      </c>
      <c r="X6" s="22">
        <v>7619458.6600000001</v>
      </c>
      <c r="Y6" s="22">
        <v>7768447</v>
      </c>
      <c r="Z6" s="22">
        <v>7962201.8499999996</v>
      </c>
      <c r="AA6" s="24">
        <f>6942201.85</f>
        <v>6942201.8499999996</v>
      </c>
      <c r="AB6" s="24">
        <v>4942051.8499999996</v>
      </c>
      <c r="AC6" s="24">
        <f>2942201.85</f>
        <v>2942201.85</v>
      </c>
      <c r="AD6" s="24">
        <f>1644193.55</f>
        <v>1644193.55</v>
      </c>
      <c r="AE6" s="25">
        <f>6644193.55</f>
        <v>6644193.5499999998</v>
      </c>
      <c r="AF6" s="24">
        <f>8927122.5</f>
        <v>8927122.5</v>
      </c>
      <c r="AG6" s="24">
        <f>8927122.5</f>
        <v>8927122.5</v>
      </c>
      <c r="AH6" s="24">
        <v>8927122.5</v>
      </c>
      <c r="AI6" s="24">
        <v>8927122.5</v>
      </c>
      <c r="AJ6" s="24">
        <v>5927122.5</v>
      </c>
      <c r="AK6" s="24">
        <v>5927122.5</v>
      </c>
      <c r="AL6" s="24">
        <v>5927122.5</v>
      </c>
      <c r="AM6" s="24">
        <v>5927122.5</v>
      </c>
      <c r="AN6" s="24">
        <v>5927122.5</v>
      </c>
      <c r="AO6" s="24">
        <v>5927122.5</v>
      </c>
      <c r="AP6" s="24">
        <v>5927122.5</v>
      </c>
      <c r="AQ6" s="24">
        <v>5927122.5</v>
      </c>
      <c r="AR6" s="24">
        <f t="shared" ref="AR6:AX6" si="0">8927122.5</f>
        <v>8927122.5</v>
      </c>
      <c r="AS6" s="24">
        <f t="shared" si="0"/>
        <v>8927122.5</v>
      </c>
      <c r="AT6" s="24">
        <f t="shared" si="0"/>
        <v>8927122.5</v>
      </c>
      <c r="AU6" s="24">
        <f t="shared" si="0"/>
        <v>8927122.5</v>
      </c>
      <c r="AV6" s="24">
        <f t="shared" si="0"/>
        <v>8927122.5</v>
      </c>
      <c r="AW6" s="26">
        <f t="shared" si="0"/>
        <v>8927122.5</v>
      </c>
      <c r="AX6" s="26">
        <f t="shared" si="0"/>
        <v>8927122.5</v>
      </c>
      <c r="AY6" s="26">
        <v>5927122.5</v>
      </c>
      <c r="AZ6" s="26">
        <v>5927122.5</v>
      </c>
      <c r="BA6" s="26">
        <v>5927122.5</v>
      </c>
      <c r="BB6" s="26">
        <v>5927122.5</v>
      </c>
      <c r="BC6" s="26">
        <v>5927122.5</v>
      </c>
      <c r="BD6" s="26">
        <v>8927122.5</v>
      </c>
      <c r="BE6" s="26">
        <v>8927122.5</v>
      </c>
      <c r="BF6" s="26">
        <f>8927122.5-2750000</f>
        <v>6177122.5</v>
      </c>
      <c r="BG6" s="26">
        <f>8927122.5-2750000</f>
        <v>6177122.5</v>
      </c>
      <c r="BH6" s="26">
        <v>6177122.5</v>
      </c>
      <c r="BI6" s="26">
        <v>5722122.5</v>
      </c>
      <c r="BJ6" s="26">
        <f t="shared" ref="BJ6:BQ6" si="1">8927122.5-3205000</f>
        <v>5722122.5</v>
      </c>
      <c r="BK6" s="26">
        <f t="shared" si="1"/>
        <v>5722122.5</v>
      </c>
      <c r="BL6" s="26">
        <f t="shared" si="1"/>
        <v>5722122.5</v>
      </c>
      <c r="BM6" s="26">
        <f t="shared" si="1"/>
        <v>5722122.5</v>
      </c>
      <c r="BN6" s="26">
        <f t="shared" si="1"/>
        <v>5722122.5</v>
      </c>
      <c r="BO6" s="26">
        <f t="shared" si="1"/>
        <v>5722122.5</v>
      </c>
      <c r="BP6" s="26">
        <f t="shared" si="1"/>
        <v>5722122.5</v>
      </c>
      <c r="BQ6" s="26">
        <f t="shared" si="1"/>
        <v>5722122.5</v>
      </c>
      <c r="BR6" s="16"/>
    </row>
    <row r="7" spans="2:71" ht="36" thickBot="1" x14ac:dyDescent="0.55000000000000004">
      <c r="B7" s="17"/>
      <c r="C7" s="18"/>
      <c r="D7" s="18"/>
      <c r="E7" s="18" t="s">
        <v>133</v>
      </c>
      <c r="F7" s="19" t="s">
        <v>113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  <c r="S7" s="27"/>
      <c r="T7" s="27"/>
      <c r="U7" s="27"/>
      <c r="V7" s="27"/>
      <c r="W7" s="27"/>
      <c r="X7" s="27"/>
      <c r="Y7" s="27"/>
      <c r="Z7" s="27"/>
      <c r="AA7" s="24"/>
      <c r="AB7" s="24"/>
      <c r="AC7" s="24"/>
      <c r="AD7" s="24"/>
      <c r="AE7" s="25">
        <v>5000000</v>
      </c>
      <c r="AF7" s="25">
        <v>5000000</v>
      </c>
      <c r="AG7" s="25">
        <v>5000000</v>
      </c>
      <c r="AH7" s="24">
        <v>5000000</v>
      </c>
      <c r="AI7" s="24">
        <v>5000000</v>
      </c>
      <c r="AJ7" s="24">
        <v>5000000</v>
      </c>
      <c r="AK7" s="24">
        <v>5000000</v>
      </c>
      <c r="AL7" s="24">
        <v>5000000</v>
      </c>
      <c r="AM7" s="24">
        <v>5000000</v>
      </c>
      <c r="AN7" s="24">
        <v>5000000</v>
      </c>
      <c r="AO7" s="24">
        <v>5000000</v>
      </c>
      <c r="AP7" s="24">
        <v>5000000</v>
      </c>
      <c r="AQ7" s="24">
        <v>5000000</v>
      </c>
      <c r="AR7" s="24">
        <f>5000000+7500000</f>
        <v>12500000</v>
      </c>
      <c r="AS7" s="24">
        <f>5000000+7500000</f>
        <v>12500000</v>
      </c>
      <c r="AT7" s="24">
        <f>12500000</f>
        <v>12500000</v>
      </c>
      <c r="AU7" s="24">
        <f>12500000</f>
        <v>12500000</v>
      </c>
      <c r="AV7" s="24">
        <v>12500000</v>
      </c>
      <c r="AW7" s="26">
        <v>12500000</v>
      </c>
      <c r="AX7" s="26">
        <v>12500000</v>
      </c>
      <c r="AY7" s="26">
        <f>5500000</f>
        <v>5500000</v>
      </c>
      <c r="AZ7" s="26">
        <f>5500000</f>
        <v>5500000</v>
      </c>
      <c r="BA7" s="26">
        <v>13541000</v>
      </c>
      <c r="BB7" s="26">
        <v>13541000</v>
      </c>
      <c r="BC7" s="26">
        <f>13541000+3000000</f>
        <v>16541000</v>
      </c>
      <c r="BD7" s="26">
        <v>10500000</v>
      </c>
      <c r="BE7" s="26">
        <v>10500000</v>
      </c>
      <c r="BF7" s="26">
        <v>10500000</v>
      </c>
      <c r="BG7" s="26">
        <f>14000000+6500000</f>
        <v>20500000</v>
      </c>
      <c r="BH7" s="26">
        <f>17500000+3000000</f>
        <v>20500000</v>
      </c>
      <c r="BI7" s="26">
        <v>17500000</v>
      </c>
      <c r="BJ7" s="26">
        <v>20500000</v>
      </c>
      <c r="BK7" s="26">
        <v>20500000</v>
      </c>
      <c r="BL7" s="26">
        <v>20500000</v>
      </c>
      <c r="BM7" s="26">
        <v>21500000</v>
      </c>
      <c r="BN7" s="26">
        <v>18000000</v>
      </c>
      <c r="BO7" s="26">
        <v>18000000</v>
      </c>
      <c r="BP7" s="26">
        <v>18000000</v>
      </c>
      <c r="BQ7" s="26">
        <v>17000000</v>
      </c>
      <c r="BR7" s="16" t="s">
        <v>140</v>
      </c>
    </row>
    <row r="8" spans="2:71" ht="36" thickBot="1" x14ac:dyDescent="0.55000000000000004">
      <c r="B8" s="17"/>
      <c r="C8" s="18"/>
      <c r="D8" s="18"/>
      <c r="F8" s="11" t="s">
        <v>114</v>
      </c>
      <c r="G8" s="29">
        <f>SUM(G5:G6)</f>
        <v>15757451.5</v>
      </c>
      <c r="H8" s="30">
        <f>SUM(H5:H6)</f>
        <v>15700302.66</v>
      </c>
      <c r="I8" s="30">
        <f>SUM(I5:I6)</f>
        <v>12630681</v>
      </c>
      <c r="J8" s="30">
        <f t="shared" ref="J8:O8" si="2">SUM(J5:J6)</f>
        <v>13736089</v>
      </c>
      <c r="K8" s="30">
        <f t="shared" si="2"/>
        <v>12728304.449999999</v>
      </c>
      <c r="L8" s="30">
        <f t="shared" si="2"/>
        <v>13384328.370000001</v>
      </c>
      <c r="M8" s="30">
        <f t="shared" si="2"/>
        <v>8867177.7400000002</v>
      </c>
      <c r="N8" s="30">
        <f t="shared" si="2"/>
        <v>8219427.5700000003</v>
      </c>
      <c r="O8" s="30">
        <f t="shared" si="2"/>
        <v>6970147.1699999999</v>
      </c>
      <c r="P8" s="30">
        <f t="shared" ref="P8:AD8" si="3">SUM(P5:P6)</f>
        <v>4973073.32</v>
      </c>
      <c r="Q8" s="30">
        <f t="shared" si="3"/>
        <v>6285337.2199999997</v>
      </c>
      <c r="R8" s="31">
        <f t="shared" si="3"/>
        <v>4329888.7300000004</v>
      </c>
      <c r="S8" s="30">
        <f t="shared" si="3"/>
        <v>6592405.1600000001</v>
      </c>
      <c r="T8" s="30">
        <f t="shared" si="3"/>
        <v>19096600.619999997</v>
      </c>
      <c r="U8" s="30">
        <f t="shared" si="3"/>
        <v>17079728.419999998</v>
      </c>
      <c r="V8" s="30">
        <f t="shared" si="3"/>
        <v>16723833.460000001</v>
      </c>
      <c r="W8" s="30">
        <f t="shared" si="3"/>
        <v>13326291.380000001</v>
      </c>
      <c r="X8" s="30">
        <f t="shared" si="3"/>
        <v>15512416.67</v>
      </c>
      <c r="Y8" s="30">
        <f t="shared" si="3"/>
        <v>30036876.960000001</v>
      </c>
      <c r="Z8" s="30">
        <f t="shared" si="3"/>
        <v>13821911.57</v>
      </c>
      <c r="AA8" s="32">
        <f t="shared" si="3"/>
        <v>12772573.65</v>
      </c>
      <c r="AB8" s="33">
        <f t="shared" si="3"/>
        <v>10874968.67</v>
      </c>
      <c r="AC8" s="33">
        <f t="shared" si="3"/>
        <v>8797845.5600000005</v>
      </c>
      <c r="AD8" s="33">
        <f t="shared" si="3"/>
        <v>14950169.029999999</v>
      </c>
      <c r="AE8" s="34">
        <f t="shared" ref="AE8:AJ8" si="4">SUM(AE5:AE7)</f>
        <v>21142389.57</v>
      </c>
      <c r="AF8" s="33">
        <f t="shared" si="4"/>
        <v>27727492.240000002</v>
      </c>
      <c r="AG8" s="33">
        <f t="shared" si="4"/>
        <v>28960883.399999999</v>
      </c>
      <c r="AH8" s="33">
        <f t="shared" si="4"/>
        <v>26360326.370000001</v>
      </c>
      <c r="AI8" s="33">
        <f t="shared" si="4"/>
        <v>21792379.949999999</v>
      </c>
      <c r="AJ8" s="33">
        <f t="shared" si="4"/>
        <v>26887813.399999999</v>
      </c>
      <c r="AK8" s="33">
        <f t="shared" ref="AK8:AT8" si="5">SUM(AK5:AK7)</f>
        <v>20315684.710000001</v>
      </c>
      <c r="AL8" s="33">
        <f t="shared" si="5"/>
        <v>23673033.289999999</v>
      </c>
      <c r="AM8" s="33">
        <f t="shared" si="5"/>
        <v>20720582.780000001</v>
      </c>
      <c r="AN8" s="33">
        <f t="shared" si="5"/>
        <v>23184965.030000001</v>
      </c>
      <c r="AO8" s="33">
        <f t="shared" si="5"/>
        <v>17864824.030000001</v>
      </c>
      <c r="AP8" s="33">
        <f t="shared" si="5"/>
        <v>19420404.23</v>
      </c>
      <c r="AQ8" s="33">
        <f t="shared" si="5"/>
        <v>38086407.519999996</v>
      </c>
      <c r="AR8" s="33">
        <f t="shared" si="5"/>
        <v>42395555.549999997</v>
      </c>
      <c r="AS8" s="33">
        <f t="shared" si="5"/>
        <v>44001996.489999995</v>
      </c>
      <c r="AT8" s="33">
        <f t="shared" si="5"/>
        <v>44390033.289999999</v>
      </c>
      <c r="AU8" s="33">
        <f t="shared" ref="AU8" si="6">SUM(AU5:AU7)</f>
        <v>38744633.789999992</v>
      </c>
      <c r="AV8" s="33">
        <f t="shared" ref="AV8:BA8" si="7">SUM(AV5:AV7)</f>
        <v>43307922.189999998</v>
      </c>
      <c r="AW8" s="35">
        <f t="shared" si="7"/>
        <v>36971201.189999998</v>
      </c>
      <c r="AX8" s="35">
        <f t="shared" si="7"/>
        <v>32123984.810000002</v>
      </c>
      <c r="AY8" s="35">
        <f t="shared" si="7"/>
        <v>27863253.810000002</v>
      </c>
      <c r="AZ8" s="35">
        <f t="shared" si="7"/>
        <v>31031230.640000001</v>
      </c>
      <c r="BA8" s="35">
        <f t="shared" si="7"/>
        <v>30356499.859999999</v>
      </c>
      <c r="BB8" s="35">
        <f t="shared" ref="BB8" si="8">SUM(BB5:BB7)</f>
        <v>30600645.919999998</v>
      </c>
      <c r="BC8" s="35">
        <f t="shared" ref="BC8:BH8" si="9">SUM(BC5:BC7)</f>
        <v>31659921.48</v>
      </c>
      <c r="BD8" s="35">
        <f t="shared" si="9"/>
        <v>42851652.640000001</v>
      </c>
      <c r="BE8" s="35">
        <f t="shared" si="9"/>
        <v>37867693.170000002</v>
      </c>
      <c r="BF8" s="35">
        <f t="shared" si="9"/>
        <v>41046855.769999996</v>
      </c>
      <c r="BG8" s="35">
        <f t="shared" si="9"/>
        <v>41161773.399999999</v>
      </c>
      <c r="BH8" s="35">
        <f t="shared" si="9"/>
        <v>48340614.25</v>
      </c>
      <c r="BI8" s="35">
        <f t="shared" ref="BI8" si="10">SUM(BI5:BI7)</f>
        <v>39423256.009999998</v>
      </c>
      <c r="BJ8" s="35">
        <f t="shared" ref="BJ8" si="11">SUM(BJ5:BJ7)</f>
        <v>49189591.079999998</v>
      </c>
      <c r="BK8" s="35">
        <f t="shared" ref="BK8:BL8" si="12">SUM(BK5:BK7)</f>
        <v>42640925.399999999</v>
      </c>
      <c r="BL8" s="35">
        <f t="shared" si="12"/>
        <v>44949364.310000002</v>
      </c>
      <c r="BM8" s="35">
        <f t="shared" ref="BM8:BN8" si="13">SUM(BM5:BM7)</f>
        <v>39605309.850000001</v>
      </c>
      <c r="BN8" s="35">
        <f t="shared" si="13"/>
        <v>41218377.120000005</v>
      </c>
      <c r="BO8" s="35">
        <f t="shared" ref="BO8" si="14">SUM(BO5:BO7)</f>
        <v>38541473.490000002</v>
      </c>
      <c r="BP8" s="35">
        <f t="shared" ref="BP8" si="15">SUM(BP5:BP7)</f>
        <v>42983002.68</v>
      </c>
      <c r="BQ8" s="35">
        <f t="shared" ref="BQ8" si="16">SUM(BQ5:BQ7)</f>
        <v>65069081.689999998</v>
      </c>
      <c r="BR8" s="82" t="s">
        <v>91</v>
      </c>
    </row>
    <row r="9" spans="2:71" ht="36.75" thickTop="1" thickBot="1" x14ac:dyDescent="0.55000000000000004">
      <c r="B9" s="17"/>
      <c r="C9" s="18"/>
      <c r="D9" s="18"/>
      <c r="E9" s="18"/>
      <c r="F9" s="11" t="s">
        <v>92</v>
      </c>
      <c r="G9" s="36"/>
      <c r="H9" s="37" t="e">
        <f t="shared" ref="H9:M9" si="17">H12/H10</f>
        <v>#DIV/0!</v>
      </c>
      <c r="I9" s="37">
        <f t="shared" si="17"/>
        <v>73.648093415359426</v>
      </c>
      <c r="J9" s="37">
        <f t="shared" si="17"/>
        <v>77.365903183315751</v>
      </c>
      <c r="K9" s="37">
        <f t="shared" si="17"/>
        <v>76.609913028115827</v>
      </c>
      <c r="L9" s="37">
        <f t="shared" si="17"/>
        <v>74.979399049813907</v>
      </c>
      <c r="M9" s="37">
        <f t="shared" si="17"/>
        <v>65.008289034046172</v>
      </c>
      <c r="N9" s="37">
        <f t="shared" ref="N9:S9" si="18">N12/N10</f>
        <v>52.75805413728412</v>
      </c>
      <c r="O9" s="37">
        <f t="shared" si="18"/>
        <v>45.795992947341794</v>
      </c>
      <c r="P9" s="37">
        <f t="shared" si="18"/>
        <v>37.329249873740956</v>
      </c>
      <c r="Q9" s="37">
        <f t="shared" si="18"/>
        <v>41.39006233145934</v>
      </c>
      <c r="R9" s="37">
        <f t="shared" si="18"/>
        <v>34.021571226211613</v>
      </c>
      <c r="S9" s="37">
        <f t="shared" si="18"/>
        <v>46.523925736631483</v>
      </c>
      <c r="T9" s="37">
        <f t="shared" ref="T9:AH9" si="19">T12/T10</f>
        <v>111.17507752172523</v>
      </c>
      <c r="U9" s="37">
        <f t="shared" si="19"/>
        <v>104.97063314816323</v>
      </c>
      <c r="V9" s="37">
        <f t="shared" si="19"/>
        <v>107.94078073658282</v>
      </c>
      <c r="W9" s="37">
        <f t="shared" si="19"/>
        <v>88.361875761606726</v>
      </c>
      <c r="X9" s="37">
        <f t="shared" si="19"/>
        <v>104.51108439607712</v>
      </c>
      <c r="Y9" s="37">
        <f t="shared" si="19"/>
        <v>169.85753148569486</v>
      </c>
      <c r="Z9" s="37">
        <f t="shared" si="19"/>
        <v>84.295764377026543</v>
      </c>
      <c r="AA9" s="37">
        <f t="shared" si="19"/>
        <v>82.047913179097179</v>
      </c>
      <c r="AB9" s="37">
        <f t="shared" si="19"/>
        <v>70.180984915099486</v>
      </c>
      <c r="AC9" s="37">
        <f t="shared" si="19"/>
        <v>55.745578705367031</v>
      </c>
      <c r="AD9" s="37">
        <f t="shared" si="19"/>
        <v>81.462235898518983</v>
      </c>
      <c r="AE9" s="37">
        <f t="shared" si="19"/>
        <v>108.78932789746109</v>
      </c>
      <c r="AF9" s="37">
        <f t="shared" si="19"/>
        <v>152.87058126915551</v>
      </c>
      <c r="AG9" s="37">
        <f t="shared" si="19"/>
        <v>133.668055488036</v>
      </c>
      <c r="AH9" s="37">
        <f t="shared" si="19"/>
        <v>122.83829968144963</v>
      </c>
      <c r="AI9" s="37">
        <f t="shared" ref="AI9:AN9" si="20">AI12/AI10</f>
        <v>107.82532278511435</v>
      </c>
      <c r="AJ9" s="37">
        <f t="shared" si="20"/>
        <v>128.78704747819177</v>
      </c>
      <c r="AK9" s="37">
        <f t="shared" si="20"/>
        <v>103.30447301012406</v>
      </c>
      <c r="AL9" s="37">
        <f t="shared" si="20"/>
        <v>111.5272020753833</v>
      </c>
      <c r="AM9" s="38">
        <f t="shared" si="20"/>
        <v>104.3659492734668</v>
      </c>
      <c r="AN9" s="38">
        <f t="shared" si="20"/>
        <v>110.47255001890687</v>
      </c>
      <c r="AO9" s="38">
        <f t="shared" ref="AO9:AT9" si="21">AO12/AO10</f>
        <v>91.708750936127245</v>
      </c>
      <c r="AP9" s="38">
        <f t="shared" si="21"/>
        <v>96.40913818933906</v>
      </c>
      <c r="AQ9" s="38">
        <f t="shared" si="21"/>
        <v>179.12513334106589</v>
      </c>
      <c r="AR9" s="38">
        <f t="shared" si="21"/>
        <v>203.99634846400951</v>
      </c>
      <c r="AS9" s="38">
        <f t="shared" si="21"/>
        <v>202.52592505876802</v>
      </c>
      <c r="AT9" s="38">
        <f t="shared" si="21"/>
        <v>197.85323596922709</v>
      </c>
      <c r="AU9" s="38">
        <f t="shared" ref="AU9:AZ9" si="22">AU12/AU10</f>
        <v>176.30628548262297</v>
      </c>
      <c r="AV9" s="38">
        <f t="shared" si="22"/>
        <v>207.84022489625892</v>
      </c>
      <c r="AW9" s="39">
        <f t="shared" si="22"/>
        <v>178.63829366259384</v>
      </c>
      <c r="AX9" s="39">
        <f t="shared" si="22"/>
        <v>156.60043584012891</v>
      </c>
      <c r="AY9" s="39">
        <f t="shared" si="22"/>
        <v>140.47225057753258</v>
      </c>
      <c r="AZ9" s="39">
        <f t="shared" si="22"/>
        <v>157.06708159589735</v>
      </c>
      <c r="BA9" s="39">
        <f t="shared" ref="BA9" si="23">BA12/BA10</f>
        <v>150.53279842959057</v>
      </c>
      <c r="BB9" s="39">
        <f t="shared" ref="BB9" si="24">BB12/BB10</f>
        <v>153.11196067218162</v>
      </c>
      <c r="BC9" s="39">
        <f t="shared" ref="BC9" si="25">BC12/BC10</f>
        <v>153.5930303227795</v>
      </c>
      <c r="BD9" s="39">
        <f t="shared" ref="BD9" si="26">BD12/BD10</f>
        <v>210.04928082596513</v>
      </c>
      <c r="BE9" s="80">
        <f t="shared" ref="BE9" si="27">BE12/BE10</f>
        <v>183.64364719041654</v>
      </c>
      <c r="BF9" s="80">
        <f t="shared" ref="BF9" si="28">BF12/BF10</f>
        <v>194.1974118251396</v>
      </c>
      <c r="BG9" s="80">
        <f t="shared" ref="BG9" si="29">BG12/BG10</f>
        <v>201.40408324056568</v>
      </c>
      <c r="BH9" s="80">
        <f t="shared" ref="BH9" si="30">BH12/BH10</f>
        <v>229.47145446228893</v>
      </c>
      <c r="BI9" s="80">
        <f t="shared" ref="BI9" si="31">BI12/BI10</f>
        <v>180.08577741648935</v>
      </c>
      <c r="BJ9" s="80">
        <f t="shared" ref="BJ9" si="32">BJ12/BJ10</f>
        <v>230.36589242766541</v>
      </c>
      <c r="BK9" s="80">
        <f t="shared" ref="BK9:BL9" si="33">BK12/BK10</f>
        <v>201.38925817343161</v>
      </c>
      <c r="BL9" s="80">
        <f t="shared" si="33"/>
        <v>211.1501339079031</v>
      </c>
      <c r="BM9" s="80">
        <f t="shared" ref="BM9" si="34">BM12/BM10</f>
        <v>196.01098991518126</v>
      </c>
      <c r="BN9" s="80">
        <f>BN12/BN10</f>
        <v>200.05703518025985</v>
      </c>
      <c r="BO9" s="80">
        <f>BO12/BO10</f>
        <v>228.46715634075514</v>
      </c>
      <c r="BP9" s="80">
        <f>BP12/BP10</f>
        <v>249.49061950557501</v>
      </c>
      <c r="BQ9" s="80">
        <f>BQ12/BQ10</f>
        <v>332.61241746394631</v>
      </c>
      <c r="BR9" s="16"/>
    </row>
    <row r="10" spans="2:71" hidden="1" x14ac:dyDescent="0.5">
      <c r="B10" s="17"/>
      <c r="C10" s="18"/>
      <c r="D10" s="18"/>
      <c r="E10" s="18"/>
      <c r="F10" s="11" t="s">
        <v>92</v>
      </c>
      <c r="G10" s="36"/>
      <c r="H10" s="37"/>
      <c r="I10" s="40">
        <f>I11/365</f>
        <v>213976.25205479452</v>
      </c>
      <c r="J10" s="40">
        <f>J11/365</f>
        <v>213976.25205479452</v>
      </c>
      <c r="K10" s="40">
        <f>K11/365</f>
        <v>213976.25205479452</v>
      </c>
      <c r="L10" s="40">
        <f>L11/365</f>
        <v>213976.25205479452</v>
      </c>
      <c r="M10" s="40">
        <f>M11/365</f>
        <v>213976.25205479452</v>
      </c>
      <c r="N10" s="40">
        <f t="shared" ref="N10:AH10" si="35">N11/365</f>
        <v>213976.25205479452</v>
      </c>
      <c r="O10" s="40">
        <f t="shared" si="35"/>
        <v>213976.25205479452</v>
      </c>
      <c r="P10" s="40">
        <f t="shared" si="35"/>
        <v>213976.25205479452</v>
      </c>
      <c r="Q10" s="40">
        <f t="shared" si="35"/>
        <v>213976.25205479452</v>
      </c>
      <c r="R10" s="37">
        <f t="shared" si="35"/>
        <v>213976.25205479452</v>
      </c>
      <c r="S10" s="40">
        <f t="shared" si="35"/>
        <v>213976.25205479452</v>
      </c>
      <c r="T10" s="40">
        <f t="shared" si="35"/>
        <v>213976.25205479452</v>
      </c>
      <c r="U10" s="40">
        <f t="shared" si="35"/>
        <v>218255.7770958904</v>
      </c>
      <c r="V10" s="40">
        <f t="shared" si="35"/>
        <v>218255.7770958904</v>
      </c>
      <c r="W10" s="40">
        <f t="shared" si="35"/>
        <v>218255.7770958904</v>
      </c>
      <c r="X10" s="40">
        <f t="shared" si="35"/>
        <v>218255.7770958904</v>
      </c>
      <c r="Y10" s="40">
        <f t="shared" si="35"/>
        <v>218255.7770958904</v>
      </c>
      <c r="Z10" s="40">
        <f t="shared" si="35"/>
        <v>218255.7770958904</v>
      </c>
      <c r="AA10" s="40">
        <f t="shared" si="35"/>
        <v>218255.7770958904</v>
      </c>
      <c r="AB10" s="40">
        <f t="shared" si="35"/>
        <v>218255.7770958904</v>
      </c>
      <c r="AC10" s="40">
        <f t="shared" si="35"/>
        <v>218255.7770958904</v>
      </c>
      <c r="AD10" s="40">
        <f t="shared" si="35"/>
        <v>218255.7770958904</v>
      </c>
      <c r="AE10" s="40">
        <f t="shared" si="35"/>
        <v>218255.7770958904</v>
      </c>
      <c r="AF10" s="40">
        <f t="shared" si="35"/>
        <v>218255.7770958904</v>
      </c>
      <c r="AG10" s="40">
        <f>AG11/365</f>
        <v>241544.55342465753</v>
      </c>
      <c r="AH10" s="40">
        <f t="shared" si="35"/>
        <v>241544.55342465753</v>
      </c>
      <c r="AI10" s="40">
        <f t="shared" ref="AI10:BQ10" si="36">AI11/365</f>
        <v>241544.55342465753</v>
      </c>
      <c r="AJ10" s="40">
        <f t="shared" si="36"/>
        <v>241544.55342465753</v>
      </c>
      <c r="AK10" s="40">
        <f t="shared" si="36"/>
        <v>241544.55342465753</v>
      </c>
      <c r="AL10" s="40">
        <f t="shared" si="36"/>
        <v>241544.55342465753</v>
      </c>
      <c r="AM10" s="41">
        <f t="shared" si="36"/>
        <v>241544.55342465753</v>
      </c>
      <c r="AN10" s="41">
        <f t="shared" si="36"/>
        <v>241544.55342465753</v>
      </c>
      <c r="AO10" s="41">
        <f t="shared" si="36"/>
        <v>241544.55342465753</v>
      </c>
      <c r="AP10" s="41">
        <f t="shared" si="36"/>
        <v>241544.55342465753</v>
      </c>
      <c r="AQ10" s="41">
        <f t="shared" si="36"/>
        <v>241544.55342465753</v>
      </c>
      <c r="AR10" s="41">
        <f t="shared" si="36"/>
        <v>241544.55342465753</v>
      </c>
      <c r="AS10" s="41">
        <f t="shared" si="36"/>
        <v>236506.85479452054</v>
      </c>
      <c r="AT10" s="41">
        <f t="shared" si="36"/>
        <v>236506.85479452054</v>
      </c>
      <c r="AU10" s="41">
        <f t="shared" si="36"/>
        <v>236506.85479452054</v>
      </c>
      <c r="AV10" s="41">
        <f t="shared" si="36"/>
        <v>236506.85479452054</v>
      </c>
      <c r="AW10" s="42">
        <f t="shared" si="36"/>
        <v>236506.85479452054</v>
      </c>
      <c r="AX10" s="42">
        <f t="shared" si="36"/>
        <v>236506.85479452054</v>
      </c>
      <c r="AY10" s="42">
        <f t="shared" si="36"/>
        <v>236506.85479452054</v>
      </c>
      <c r="AZ10" s="42">
        <f t="shared" si="36"/>
        <v>236506.85479452054</v>
      </c>
      <c r="BA10" s="42">
        <f t="shared" si="36"/>
        <v>236506.85479452054</v>
      </c>
      <c r="BB10" s="42">
        <f t="shared" si="36"/>
        <v>236506.85479452054</v>
      </c>
      <c r="BC10" s="42">
        <f t="shared" si="36"/>
        <v>236506.85479452054</v>
      </c>
      <c r="BD10" s="42">
        <f t="shared" si="36"/>
        <v>236506.85479452054</v>
      </c>
      <c r="BE10" s="42">
        <f t="shared" si="36"/>
        <v>236506.85479452054</v>
      </c>
      <c r="BF10" s="42">
        <f t="shared" si="36"/>
        <v>236506.85479452054</v>
      </c>
      <c r="BG10" s="42">
        <f t="shared" si="36"/>
        <v>236506.85479452054</v>
      </c>
      <c r="BH10" s="42">
        <f t="shared" si="36"/>
        <v>236506.85479452054</v>
      </c>
      <c r="BI10" s="42">
        <f t="shared" si="36"/>
        <v>236506.85479452054</v>
      </c>
      <c r="BJ10" s="42">
        <f t="shared" si="36"/>
        <v>236506.85479452054</v>
      </c>
      <c r="BK10" s="42">
        <f t="shared" si="36"/>
        <v>236506.85479452054</v>
      </c>
      <c r="BL10" s="42">
        <f t="shared" si="36"/>
        <v>236506.85479452054</v>
      </c>
      <c r="BM10" s="42">
        <f t="shared" si="36"/>
        <v>236506.85479452054</v>
      </c>
      <c r="BN10" s="42">
        <f t="shared" si="36"/>
        <v>236506.85479452054</v>
      </c>
      <c r="BO10" s="42">
        <f t="shared" si="36"/>
        <v>236506.85479452054</v>
      </c>
      <c r="BP10" s="42">
        <f t="shared" si="36"/>
        <v>236506.85479452054</v>
      </c>
      <c r="BQ10" s="42">
        <f t="shared" si="36"/>
        <v>236506.85479452054</v>
      </c>
      <c r="BR10" s="16"/>
    </row>
    <row r="11" spans="2:71" hidden="1" x14ac:dyDescent="0.5">
      <c r="B11" s="17"/>
      <c r="C11" s="18"/>
      <c r="D11" s="18"/>
      <c r="E11" s="18"/>
      <c r="F11" s="11" t="s">
        <v>121</v>
      </c>
      <c r="G11" s="36"/>
      <c r="H11" s="37"/>
      <c r="I11" s="37">
        <v>78101332</v>
      </c>
      <c r="J11" s="37">
        <v>78101332</v>
      </c>
      <c r="K11" s="37">
        <v>78101332</v>
      </c>
      <c r="L11" s="37">
        <v>78101332</v>
      </c>
      <c r="M11" s="37">
        <v>78101332</v>
      </c>
      <c r="N11" s="37">
        <v>78101332</v>
      </c>
      <c r="O11" s="37">
        <v>78101332</v>
      </c>
      <c r="P11" s="37">
        <v>78101332</v>
      </c>
      <c r="Q11" s="37">
        <v>78101332</v>
      </c>
      <c r="R11" s="37">
        <v>78101332</v>
      </c>
      <c r="S11" s="37">
        <v>78101332</v>
      </c>
      <c r="T11" s="37">
        <v>78101332</v>
      </c>
      <c r="U11" s="37">
        <f>78101332*1.02</f>
        <v>79663358.640000001</v>
      </c>
      <c r="V11" s="37">
        <f t="shared" ref="V11:AF11" si="37">78101332*1.02</f>
        <v>79663358.640000001</v>
      </c>
      <c r="W11" s="37">
        <f t="shared" si="37"/>
        <v>79663358.640000001</v>
      </c>
      <c r="X11" s="37">
        <f t="shared" si="37"/>
        <v>79663358.640000001</v>
      </c>
      <c r="Y11" s="37">
        <f t="shared" si="37"/>
        <v>79663358.640000001</v>
      </c>
      <c r="Z11" s="37">
        <f t="shared" si="37"/>
        <v>79663358.640000001</v>
      </c>
      <c r="AA11" s="37">
        <f>78101332*1.02</f>
        <v>79663358.640000001</v>
      </c>
      <c r="AB11" s="37">
        <f t="shared" si="37"/>
        <v>79663358.640000001</v>
      </c>
      <c r="AC11" s="37">
        <f t="shared" si="37"/>
        <v>79663358.640000001</v>
      </c>
      <c r="AD11" s="37">
        <f t="shared" si="37"/>
        <v>79663358.640000001</v>
      </c>
      <c r="AE11" s="37">
        <f t="shared" si="37"/>
        <v>79663358.640000001</v>
      </c>
      <c r="AF11" s="37">
        <f t="shared" si="37"/>
        <v>79663358.640000001</v>
      </c>
      <c r="AG11" s="37">
        <v>88163762</v>
      </c>
      <c r="AH11" s="37">
        <v>88163762</v>
      </c>
      <c r="AI11" s="37">
        <v>88163762</v>
      </c>
      <c r="AJ11" s="37">
        <v>88163762</v>
      </c>
      <c r="AK11" s="37">
        <v>88163762</v>
      </c>
      <c r="AL11" s="37">
        <v>88163762</v>
      </c>
      <c r="AM11" s="37">
        <v>88163762</v>
      </c>
      <c r="AN11" s="37">
        <v>88163762</v>
      </c>
      <c r="AO11" s="37">
        <v>88163762</v>
      </c>
      <c r="AP11" s="37">
        <v>88163762</v>
      </c>
      <c r="AQ11" s="37">
        <v>88163762</v>
      </c>
      <c r="AR11" s="37">
        <v>88163762</v>
      </c>
      <c r="AS11" s="38">
        <v>86325002</v>
      </c>
      <c r="AT11" s="38">
        <v>86325002</v>
      </c>
      <c r="AU11" s="38">
        <v>86325002</v>
      </c>
      <c r="AV11" s="38">
        <v>86325002</v>
      </c>
      <c r="AW11" s="38">
        <v>86325002</v>
      </c>
      <c r="AX11" s="38">
        <v>86325002</v>
      </c>
      <c r="AY11" s="38">
        <v>86325002</v>
      </c>
      <c r="AZ11" s="38">
        <v>86325002</v>
      </c>
      <c r="BA11" s="38">
        <v>86325002</v>
      </c>
      <c r="BB11" s="38">
        <v>86325002</v>
      </c>
      <c r="BC11" s="38">
        <v>86325002</v>
      </c>
      <c r="BD11" s="38">
        <v>86325002</v>
      </c>
      <c r="BE11" s="38">
        <v>86325002</v>
      </c>
      <c r="BF11" s="38">
        <v>86325002</v>
      </c>
      <c r="BG11" s="38">
        <v>86325002</v>
      </c>
      <c r="BH11" s="38">
        <v>86325002</v>
      </c>
      <c r="BI11" s="38">
        <v>86325002</v>
      </c>
      <c r="BJ11" s="38">
        <v>86325002</v>
      </c>
      <c r="BK11" s="38">
        <v>86325002</v>
      </c>
      <c r="BL11" s="38">
        <v>86325002</v>
      </c>
      <c r="BM11" s="38">
        <v>86325002</v>
      </c>
      <c r="BN11" s="38">
        <v>86325002</v>
      </c>
      <c r="BO11" s="38">
        <v>86325002</v>
      </c>
      <c r="BP11" s="38">
        <v>86325002</v>
      </c>
      <c r="BQ11" s="38">
        <v>86325002</v>
      </c>
      <c r="BR11" s="16"/>
      <c r="BS11" s="3"/>
    </row>
    <row r="12" spans="2:71" hidden="1" x14ac:dyDescent="0.5">
      <c r="B12" s="17"/>
      <c r="C12" s="18"/>
      <c r="D12" s="18"/>
      <c r="E12" s="18"/>
      <c r="F12" s="11" t="s">
        <v>93</v>
      </c>
      <c r="G12" s="36"/>
      <c r="H12" s="37"/>
      <c r="I12" s="37">
        <f t="shared" ref="I12:AM12" si="38">I8+SUM(I20:I24)+I14</f>
        <v>15758943</v>
      </c>
      <c r="J12" s="37">
        <f t="shared" si="38"/>
        <v>16554466</v>
      </c>
      <c r="K12" s="37">
        <f t="shared" si="38"/>
        <v>16392702.059999999</v>
      </c>
      <c r="L12" s="37">
        <f t="shared" si="38"/>
        <v>16043810.790000001</v>
      </c>
      <c r="M12" s="37">
        <f t="shared" si="38"/>
        <v>13910230.039999999</v>
      </c>
      <c r="N12" s="37">
        <f t="shared" si="38"/>
        <v>11288970.690000001</v>
      </c>
      <c r="O12" s="37">
        <f t="shared" si="38"/>
        <v>9799254.9299999997</v>
      </c>
      <c r="P12" s="37">
        <f t="shared" si="38"/>
        <v>7987572.9800000004</v>
      </c>
      <c r="Q12" s="37">
        <f t="shared" si="38"/>
        <v>8856490.4100000001</v>
      </c>
      <c r="R12" s="37">
        <f t="shared" si="38"/>
        <v>7279808.3000000007</v>
      </c>
      <c r="S12" s="37">
        <f t="shared" si="38"/>
        <v>9955015.2599999998</v>
      </c>
      <c r="T12" s="37">
        <f t="shared" si="38"/>
        <v>23788826.409999996</v>
      </c>
      <c r="U12" s="37">
        <f t="shared" si="38"/>
        <v>22910447.109999999</v>
      </c>
      <c r="V12" s="37">
        <f t="shared" si="38"/>
        <v>23558698.98</v>
      </c>
      <c r="W12" s="37">
        <f t="shared" si="38"/>
        <v>19285489.859999999</v>
      </c>
      <c r="X12" s="37">
        <f t="shared" si="38"/>
        <v>22810147.939999998</v>
      </c>
      <c r="Y12" s="37">
        <f t="shared" si="38"/>
        <v>37072387.530000001</v>
      </c>
      <c r="Z12" s="37">
        <f t="shared" si="38"/>
        <v>18398037.560000002</v>
      </c>
      <c r="AA12" s="37">
        <f t="shared" si="38"/>
        <v>17907431.050000001</v>
      </c>
      <c r="AB12" s="37">
        <f t="shared" si="38"/>
        <v>15317405.4</v>
      </c>
      <c r="AC12" s="37">
        <f t="shared" si="38"/>
        <v>12166794.600000001</v>
      </c>
      <c r="AD12" s="37">
        <f t="shared" si="38"/>
        <v>17779603.600000001</v>
      </c>
      <c r="AE12" s="37">
        <f t="shared" si="38"/>
        <v>23743899.300000001</v>
      </c>
      <c r="AF12" s="37">
        <f t="shared" si="38"/>
        <v>33364887.510000002</v>
      </c>
      <c r="AG12" s="37">
        <f t="shared" si="38"/>
        <v>32286790.77</v>
      </c>
      <c r="AH12" s="37">
        <f t="shared" si="38"/>
        <v>29670922.240000002</v>
      </c>
      <c r="AI12" s="37">
        <f t="shared" si="38"/>
        <v>26044619.439999998</v>
      </c>
      <c r="AJ12" s="37">
        <f t="shared" si="38"/>
        <v>31107809.869999997</v>
      </c>
      <c r="AK12" s="37">
        <f t="shared" si="38"/>
        <v>24952632.800000001</v>
      </c>
      <c r="AL12" s="37">
        <f t="shared" si="38"/>
        <v>26938788.219999999</v>
      </c>
      <c r="AM12" s="37">
        <f t="shared" si="38"/>
        <v>25209026.609999999</v>
      </c>
      <c r="AN12" s="37">
        <f t="shared" ref="AN12:AR12" si="39">AN8+SUM(AN20:AN24)+AN14</f>
        <v>26684042.760000002</v>
      </c>
      <c r="AO12" s="37">
        <f t="shared" si="39"/>
        <v>22151749.289999999</v>
      </c>
      <c r="AP12" s="37">
        <f t="shared" si="39"/>
        <v>23287102.23</v>
      </c>
      <c r="AQ12" s="37">
        <f t="shared" si="39"/>
        <v>43266700.339999996</v>
      </c>
      <c r="AR12" s="37">
        <f t="shared" si="39"/>
        <v>49274206.890000001</v>
      </c>
      <c r="AS12" s="38">
        <f>AS8+SUM(AS20:AS24)+AS14</f>
        <v>47898769.549999997</v>
      </c>
      <c r="AT12" s="38">
        <f>AT8+SUM(AT20:AT24)+AT14</f>
        <v>46793646.549999997</v>
      </c>
      <c r="AU12" s="38">
        <f>AU8+SUM(AU20:AU24)+AU14</f>
        <v>41697645.059999995</v>
      </c>
      <c r="AV12" s="38">
        <f t="shared" ref="AV12" si="40">AV8+SUM(AV20:AV24)+AV14</f>
        <v>49155637.890000001</v>
      </c>
      <c r="AW12" s="38">
        <f t="shared" ref="AW12:BB12" si="41">AW8+SUM(AW20:AW24)+AW14</f>
        <v>42249180.979999997</v>
      </c>
      <c r="AX12" s="38">
        <f t="shared" si="41"/>
        <v>37037076.539999999</v>
      </c>
      <c r="AY12" s="38">
        <f t="shared" si="41"/>
        <v>33222650.170000002</v>
      </c>
      <c r="AZ12" s="38">
        <f t="shared" si="41"/>
        <v>37147441.460000001</v>
      </c>
      <c r="BA12" s="38">
        <f t="shared" si="41"/>
        <v>35602038.700000003</v>
      </c>
      <c r="BB12" s="38">
        <f t="shared" si="41"/>
        <v>36212028.25</v>
      </c>
      <c r="BC12" s="38">
        <f t="shared" ref="BC12" si="42">BC8+SUM(BC20:BC24)+BC14</f>
        <v>36325804.520000003</v>
      </c>
      <c r="BD12" s="38">
        <f t="shared" ref="BD12" si="43">BD8+SUM(BD20:BD24)+BD14</f>
        <v>49678094.759999998</v>
      </c>
      <c r="BE12" s="38">
        <f t="shared" ref="BE12" si="44">BE8+SUM(BE20:BE24)+BE14</f>
        <v>43432981.400000006</v>
      </c>
      <c r="BF12" s="38">
        <f t="shared" ref="BF12" si="45">BF8+SUM(BF20:BF24)+BF14</f>
        <v>45929019.079999998</v>
      </c>
      <c r="BG12" s="38">
        <f t="shared" ref="BG12" si="46">BG8+SUM(BG20:BG24)+BG14</f>
        <v>47633446.269999996</v>
      </c>
      <c r="BH12" s="38">
        <f t="shared" ref="BH12" si="47">BH8+SUM(BH20:BH24)+BH14</f>
        <v>54271571.960000001</v>
      </c>
      <c r="BI12" s="38">
        <f t="shared" ref="BI12" si="48">BI8+SUM(BI20:BI24)+BI14</f>
        <v>42591520.809999995</v>
      </c>
      <c r="BJ12" s="38">
        <f t="shared" ref="BJ12" si="49">BJ8+SUM(BJ20:BJ24)+BJ14</f>
        <v>54483112.670000002</v>
      </c>
      <c r="BK12" s="38">
        <f t="shared" ref="BK12:BL12" si="50">BK8+SUM(BK20:BK24)+BK14</f>
        <v>47629940.039999999</v>
      </c>
      <c r="BL12" s="38">
        <f t="shared" si="50"/>
        <v>49938454.060000002</v>
      </c>
      <c r="BM12" s="38">
        <f t="shared" ref="BM12:BN12" si="51">BM8+SUM(BM20:BM24)+BM14</f>
        <v>46357942.730000004</v>
      </c>
      <c r="BN12" s="38">
        <f t="shared" si="51"/>
        <v>47314860.170000002</v>
      </c>
      <c r="BO12" s="38">
        <f t="shared" ref="BO12" si="52">BO8+SUM(BO20:BO24)+BO14</f>
        <v>54034048.57</v>
      </c>
      <c r="BP12" s="38">
        <f t="shared" ref="BP12" si="53">BP8+SUM(BP20:BP24)+BP14</f>
        <v>59006241.719999999</v>
      </c>
      <c r="BQ12" s="38">
        <f t="shared" ref="BQ12" si="54">BQ8+SUM(BQ20:BQ24)+BQ14</f>
        <v>78665116.719999999</v>
      </c>
      <c r="BR12" s="16"/>
    </row>
    <row r="13" spans="2:71" hidden="1" x14ac:dyDescent="0.5">
      <c r="B13" s="17"/>
      <c r="C13" s="18"/>
      <c r="D13" s="18"/>
      <c r="E13" s="18"/>
      <c r="F13" s="11" t="s">
        <v>94</v>
      </c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8"/>
      <c r="AT13" s="38"/>
      <c r="AU13" s="38"/>
      <c r="AV13" s="38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16"/>
    </row>
    <row r="14" spans="2:71" hidden="1" x14ac:dyDescent="0.5">
      <c r="B14" s="17"/>
      <c r="C14" s="18"/>
      <c r="D14" s="18"/>
      <c r="E14" s="18"/>
      <c r="F14" s="11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8"/>
      <c r="AT14" s="38"/>
      <c r="AU14" s="38"/>
      <c r="AV14" s="38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16"/>
    </row>
    <row r="15" spans="2:71" ht="2.4500000000000002" customHeight="1" x14ac:dyDescent="0.5">
      <c r="B15" s="17"/>
      <c r="C15" s="18"/>
      <c r="D15" s="18"/>
      <c r="E15" s="18"/>
      <c r="F15" s="11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7"/>
      <c r="T15" s="37"/>
      <c r="U15" s="37"/>
      <c r="V15" s="37"/>
      <c r="W15" s="37"/>
      <c r="X15" s="37"/>
      <c r="Y15" s="37"/>
      <c r="Z15" s="37"/>
      <c r="AA15" s="38"/>
      <c r="AB15" s="38"/>
      <c r="AC15" s="38"/>
      <c r="AD15" s="38"/>
      <c r="AE15" s="36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16"/>
    </row>
    <row r="16" spans="2:71" s="44" customFormat="1" x14ac:dyDescent="0.5">
      <c r="B16" s="45"/>
      <c r="C16" s="46"/>
      <c r="D16" s="46"/>
      <c r="E16" s="46"/>
      <c r="F16" s="47" t="s">
        <v>100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>
        <v>65</v>
      </c>
      <c r="Z16" s="49">
        <v>53</v>
      </c>
      <c r="AA16" s="49">
        <v>46</v>
      </c>
      <c r="AB16" s="49">
        <v>37</v>
      </c>
      <c r="AC16" s="49">
        <v>41</v>
      </c>
      <c r="AD16" s="49">
        <v>34</v>
      </c>
      <c r="AE16" s="50">
        <v>47</v>
      </c>
      <c r="AF16" s="49">
        <v>111</v>
      </c>
      <c r="AG16" s="49">
        <v>105</v>
      </c>
      <c r="AH16" s="49">
        <v>105</v>
      </c>
      <c r="AI16" s="49">
        <v>105</v>
      </c>
      <c r="AJ16" s="49">
        <v>105</v>
      </c>
      <c r="AK16" s="48">
        <v>105</v>
      </c>
      <c r="AL16" s="48">
        <v>84</v>
      </c>
      <c r="AM16" s="48">
        <v>82</v>
      </c>
      <c r="AN16" s="48">
        <v>70</v>
      </c>
      <c r="AO16" s="48">
        <v>56</v>
      </c>
      <c r="AP16" s="48">
        <v>56</v>
      </c>
      <c r="AQ16" s="48">
        <v>56</v>
      </c>
      <c r="AR16" s="48">
        <v>153</v>
      </c>
      <c r="AS16" s="48">
        <v>134</v>
      </c>
      <c r="AT16" s="48">
        <v>123</v>
      </c>
      <c r="AU16" s="48">
        <v>108</v>
      </c>
      <c r="AV16" s="48">
        <v>129</v>
      </c>
      <c r="AW16" s="51">
        <v>103</v>
      </c>
      <c r="AX16" s="51">
        <v>112</v>
      </c>
      <c r="AY16" s="51">
        <v>104</v>
      </c>
      <c r="AZ16" s="51">
        <v>110</v>
      </c>
      <c r="BA16" s="51">
        <v>92</v>
      </c>
      <c r="BB16" s="51">
        <v>96</v>
      </c>
      <c r="BC16" s="51">
        <v>179</v>
      </c>
      <c r="BD16" s="51">
        <v>204</v>
      </c>
      <c r="BE16" s="51">
        <v>203</v>
      </c>
      <c r="BF16" s="51">
        <v>198</v>
      </c>
      <c r="BG16" s="51">
        <v>176</v>
      </c>
      <c r="BH16" s="51">
        <v>208</v>
      </c>
      <c r="BI16" s="51">
        <v>179</v>
      </c>
      <c r="BJ16" s="51">
        <v>157</v>
      </c>
      <c r="BK16" s="51">
        <v>140</v>
      </c>
      <c r="BL16" s="51">
        <v>157</v>
      </c>
      <c r="BM16" s="51">
        <v>151</v>
      </c>
      <c r="BN16" s="51">
        <v>153</v>
      </c>
      <c r="BO16" s="51">
        <v>153</v>
      </c>
      <c r="BP16" s="51">
        <v>210</v>
      </c>
      <c r="BQ16" s="51">
        <v>210</v>
      </c>
      <c r="BR16" s="16"/>
    </row>
    <row r="17" spans="2:70" s="44" customFormat="1" x14ac:dyDescent="0.5">
      <c r="B17" s="45"/>
      <c r="C17" s="46"/>
      <c r="D17" s="46"/>
      <c r="E17" s="46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49"/>
      <c r="AA17" s="49"/>
      <c r="AB17" s="49"/>
      <c r="AC17" s="49"/>
      <c r="AD17" s="49"/>
      <c r="AE17" s="50"/>
      <c r="AF17" s="49"/>
      <c r="AG17" s="49"/>
      <c r="AH17" s="49"/>
      <c r="AI17" s="49"/>
      <c r="AJ17" s="49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16"/>
    </row>
    <row r="18" spans="2:70" x14ac:dyDescent="0.5">
      <c r="B18" s="17" t="s">
        <v>11</v>
      </c>
      <c r="C18" s="18" t="s">
        <v>12</v>
      </c>
      <c r="D18" s="18" t="s">
        <v>11</v>
      </c>
      <c r="E18" s="18" t="s">
        <v>10</v>
      </c>
      <c r="F18" s="19" t="s">
        <v>103</v>
      </c>
      <c r="G18" s="14">
        <v>1092348</v>
      </c>
      <c r="H18" s="14">
        <f>1702948+50378</f>
        <v>1753326</v>
      </c>
      <c r="I18" s="14">
        <v>1702948</v>
      </c>
      <c r="J18" s="14">
        <v>1751326</v>
      </c>
      <c r="K18" s="14">
        <v>1753326</v>
      </c>
      <c r="L18" s="14">
        <v>1111777.8400000001</v>
      </c>
      <c r="M18" s="20">
        <v>304432.19</v>
      </c>
      <c r="N18" s="20">
        <v>3758774.34</v>
      </c>
      <c r="O18" s="20">
        <v>3885967.75</v>
      </c>
      <c r="P18" s="20">
        <f>4018845.68-210535</f>
        <v>3808310.68</v>
      </c>
      <c r="Q18" s="20">
        <f>3773647.01-98913.54</f>
        <v>3674733.4699999997</v>
      </c>
      <c r="R18" s="20">
        <v>1884047.57</v>
      </c>
      <c r="S18" s="20">
        <f>2396629.5+1844642.48</f>
        <v>4241271.9800000004</v>
      </c>
      <c r="T18" s="20">
        <v>4358382.12</v>
      </c>
      <c r="U18" s="20">
        <f>4346375.11+134504.48</f>
        <v>4480879.5900000008</v>
      </c>
      <c r="V18" s="20">
        <v>5343069.99</v>
      </c>
      <c r="W18" s="20">
        <f>5083984.92+237535.22</f>
        <v>5321520.1399999997</v>
      </c>
      <c r="X18" s="20">
        <f>5518121.16</f>
        <v>5518121.1600000001</v>
      </c>
      <c r="Y18" s="20">
        <f>5415598.36</f>
        <v>5415598.3600000003</v>
      </c>
      <c r="Z18" s="20">
        <f>5850993.01-186169</f>
        <v>5664824.0099999998</v>
      </c>
      <c r="AA18" s="20">
        <f>6018922.33</f>
        <v>6018922.3300000001</v>
      </c>
      <c r="AB18" s="20">
        <f>6711924.3-478906.08</f>
        <v>6233018.2199999997</v>
      </c>
      <c r="AC18" s="20">
        <f>6200055.13+3295.34</f>
        <v>6203350.4699999997</v>
      </c>
      <c r="AD18" s="20">
        <f>6744422.02-462707.79</f>
        <v>6281714.2299999995</v>
      </c>
      <c r="AE18" s="14">
        <f>6393146.25-267804.22-1000000</f>
        <v>5125342.03</v>
      </c>
      <c r="AF18" s="20">
        <f>4933171.62+84090.73</f>
        <v>5017262.3500000006</v>
      </c>
      <c r="AG18" s="20">
        <f>5365473.17-146810.5</f>
        <v>5218662.67</v>
      </c>
      <c r="AH18" s="20">
        <f>5459777.66-302027</f>
        <v>5157750.66</v>
      </c>
      <c r="AI18" s="20">
        <f>5055384.23-626836.44</f>
        <v>4428547.790000001</v>
      </c>
      <c r="AJ18" s="20">
        <f>4863128.23-55332.17</f>
        <v>4807796.0600000005</v>
      </c>
      <c r="AK18" s="20">
        <f>5270853.77-851239.32</f>
        <v>4419614.4499999993</v>
      </c>
      <c r="AL18" s="20">
        <f>4440262.76-618147.04</f>
        <v>3822115.7199999997</v>
      </c>
      <c r="AM18" s="20">
        <f>4235603.12+789501.58</f>
        <v>5025104.7</v>
      </c>
      <c r="AN18" s="20">
        <f>6215988.41-84769.68</f>
        <v>6131218.7300000004</v>
      </c>
      <c r="AO18" s="20">
        <f>6315131.11</f>
        <v>6315131.1100000003</v>
      </c>
      <c r="AP18" s="20">
        <f>6183742.21-62982.51</f>
        <v>6120759.7000000002</v>
      </c>
      <c r="AQ18" s="20">
        <f>6013586.69-260316.39</f>
        <v>5753270.3000000007</v>
      </c>
      <c r="AR18" s="20">
        <f>5896477.15-105438.35</f>
        <v>5791038.8000000007</v>
      </c>
      <c r="AS18" s="20">
        <f>6680864.31-1421223.13</f>
        <v>5259641.18</v>
      </c>
      <c r="AT18" s="20">
        <f>6198029.14-684275.43</f>
        <v>5513753.71</v>
      </c>
      <c r="AU18" s="20">
        <f>5363830.94-381850.49</f>
        <v>4981980.45</v>
      </c>
      <c r="AV18" s="20">
        <f>6757686.67+223219.54</f>
        <v>6980906.21</v>
      </c>
      <c r="AW18" s="21">
        <f>6494670.55-243032.57</f>
        <v>6251637.9799999995</v>
      </c>
      <c r="AX18" s="21">
        <f>7053961.11-225929.06</f>
        <v>6828032.0500000007</v>
      </c>
      <c r="AY18" s="21">
        <f>7048238.08+1000000+619913.01</f>
        <v>8668151.0899999999</v>
      </c>
      <c r="AZ18" s="21">
        <f>7818188.8-57357.42</f>
        <v>7760831.3799999999</v>
      </c>
      <c r="BA18" s="21">
        <f>8110993.24-388078.59</f>
        <v>7722914.6500000004</v>
      </c>
      <c r="BB18" s="21">
        <f>8237352.96-136464.94</f>
        <v>8100888.0199999996</v>
      </c>
      <c r="BC18" s="21">
        <f>8415015.23-251323.63</f>
        <v>8163691.6000000006</v>
      </c>
      <c r="BD18" s="21">
        <f>6565049.91-22822.34</f>
        <v>6542227.5700000003</v>
      </c>
      <c r="BE18" s="21">
        <f>7124619.62-563304.82</f>
        <v>6561314.7999999998</v>
      </c>
      <c r="BF18" s="21">
        <f>7144869.81-971788.94</f>
        <v>6173080.8699999992</v>
      </c>
      <c r="BG18" s="21">
        <f>7739602.26-1639231.53</f>
        <v>6100370.7299999995</v>
      </c>
      <c r="BH18" s="21">
        <f>7611045.41+103158.07</f>
        <v>7714203.4800000004</v>
      </c>
      <c r="BI18" s="21">
        <f>5347961.39+2511689.63</f>
        <v>7859651.0199999996</v>
      </c>
      <c r="BJ18" s="21">
        <v>5021085.9000000004</v>
      </c>
      <c r="BK18" s="21">
        <v>5865993.8700000001</v>
      </c>
      <c r="BL18" s="21">
        <f>7034155.02+19391.86</f>
        <v>7053546.8799999999</v>
      </c>
      <c r="BM18" s="21">
        <f>7617604.04-310642.41</f>
        <v>7306961.6299999999</v>
      </c>
      <c r="BN18" s="21">
        <f>8138818.19-737164.53</f>
        <v>7401653.6600000001</v>
      </c>
      <c r="BO18" s="21">
        <f>7638976.36-418123.69</f>
        <v>7220852.6699999999</v>
      </c>
      <c r="BP18" s="21">
        <f>7901551.72-504429.33</f>
        <v>7397122.3899999997</v>
      </c>
      <c r="BQ18" s="21">
        <f>8337093.89-150228.89</f>
        <v>8186865</v>
      </c>
      <c r="BR18" s="16"/>
    </row>
    <row r="19" spans="2:70" x14ac:dyDescent="0.5">
      <c r="B19" s="17"/>
      <c r="C19" s="18"/>
      <c r="D19" s="18"/>
      <c r="E19" s="18"/>
      <c r="F19" s="19" t="s">
        <v>115</v>
      </c>
      <c r="G19" s="14"/>
      <c r="H19" s="14"/>
      <c r="I19" s="14"/>
      <c r="J19" s="14"/>
      <c r="K19" s="14"/>
      <c r="L19" s="1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14">
        <v>1000000</v>
      </c>
      <c r="AF19" s="14">
        <v>1000000</v>
      </c>
      <c r="AG19" s="14">
        <v>1000000</v>
      </c>
      <c r="AH19" s="20">
        <v>1000000</v>
      </c>
      <c r="AI19" s="20">
        <v>1000000</v>
      </c>
      <c r="AJ19" s="20">
        <v>1000000</v>
      </c>
      <c r="AK19" s="20">
        <v>1000000</v>
      </c>
      <c r="AL19" s="20">
        <v>1000000</v>
      </c>
      <c r="AM19" s="20">
        <v>1000000</v>
      </c>
      <c r="AN19" s="20">
        <v>1000000</v>
      </c>
      <c r="AO19" s="20">
        <v>1000000</v>
      </c>
      <c r="AP19" s="20">
        <v>1000000</v>
      </c>
      <c r="AQ19" s="20">
        <v>1000000</v>
      </c>
      <c r="AR19" s="20">
        <v>1000000</v>
      </c>
      <c r="AS19" s="20">
        <v>1000000</v>
      </c>
      <c r="AT19" s="20">
        <v>1000000</v>
      </c>
      <c r="AU19" s="20">
        <v>1000000</v>
      </c>
      <c r="AV19" s="20">
        <v>1000000</v>
      </c>
      <c r="AW19" s="21">
        <v>1000000</v>
      </c>
      <c r="AX19" s="21">
        <v>1000000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</row>
    <row r="20" spans="2:70" x14ac:dyDescent="0.5">
      <c r="B20" s="17" t="s">
        <v>14</v>
      </c>
      <c r="C20" s="18" t="s">
        <v>15</v>
      </c>
      <c r="D20" s="18" t="s">
        <v>16</v>
      </c>
      <c r="E20" s="18" t="s">
        <v>117</v>
      </c>
      <c r="F20" s="47" t="s">
        <v>118</v>
      </c>
      <c r="G20" s="20">
        <v>260550.86</v>
      </c>
      <c r="H20" s="20">
        <f>149158.92+2191193.1</f>
        <v>2340352.02</v>
      </c>
      <c r="I20" s="20">
        <f>556720+477</f>
        <v>557197</v>
      </c>
      <c r="J20" s="20">
        <f>322512+477</f>
        <v>322989</v>
      </c>
      <c r="K20" s="20">
        <f>1168533.06+476.55</f>
        <v>1169009.6100000001</v>
      </c>
      <c r="L20" s="20">
        <f>94830.47+69263.95</f>
        <v>164094.41999999998</v>
      </c>
      <c r="M20" s="20">
        <f>1008734.05+1538930.75</f>
        <v>2547664.7999999998</v>
      </c>
      <c r="N20" s="20">
        <f>307015.43+459530.93-192390.74</f>
        <v>574155.62</v>
      </c>
      <c r="O20" s="20">
        <f>247638.25+68935.61</f>
        <v>316573.86</v>
      </c>
      <c r="P20" s="20">
        <f>452127.02+49839.14</f>
        <v>501966.16000000003</v>
      </c>
      <c r="Q20" s="20">
        <f>732232.38+13414.84-687027.93</f>
        <v>58619.289999999921</v>
      </c>
      <c r="R20" s="20">
        <f>390117.67+47268</f>
        <v>437385.67</v>
      </c>
      <c r="S20" s="20">
        <f>485835.14+527853.94-163612.88</f>
        <v>850076.2</v>
      </c>
      <c r="T20" s="20">
        <f>5174.55+1079547.27</f>
        <v>1084721.82</v>
      </c>
      <c r="U20" s="20">
        <f>189376.54+5174.9</f>
        <v>194551.44</v>
      </c>
      <c r="V20" s="20">
        <f>573962.61+90762.79+533972.87</f>
        <v>1198698.27</v>
      </c>
      <c r="W20" s="20">
        <f>246591.24+4.58</f>
        <v>246595.81999999998</v>
      </c>
      <c r="X20" s="20">
        <f>1473919.85+4.58</f>
        <v>1473924.4300000002</v>
      </c>
      <c r="Y20" s="20">
        <f>1211699.92+3.81</f>
        <v>1211703.73</v>
      </c>
      <c r="Z20" s="20">
        <f>1878198.31+80738.9</f>
        <v>1958937.21</v>
      </c>
      <c r="AA20" s="20">
        <f>1725893.99+6.02+435374.52</f>
        <v>2161274.5300000003</v>
      </c>
      <c r="AB20" s="20">
        <f>2073134.37+118243.17-385590.36</f>
        <v>1805787.1800000002</v>
      </c>
      <c r="AC20" s="20">
        <f>3.89+1238614.78+16156.8</f>
        <v>1254775.47</v>
      </c>
      <c r="AD20" s="20">
        <f>952246.2-236985.2</f>
        <v>715261</v>
      </c>
      <c r="AE20" s="20">
        <f>846698.48-361590.97</f>
        <v>485107.51</v>
      </c>
      <c r="AF20" s="20">
        <f>2732570.44+19697.68</f>
        <v>2752268.12</v>
      </c>
      <c r="AG20" s="20">
        <f>540049.35-101288.33</f>
        <v>438761.01999999996</v>
      </c>
      <c r="AH20" s="20">
        <f>285712.74+90137.78</f>
        <v>375850.52</v>
      </c>
      <c r="AI20" s="20">
        <f>1367462.24-100632.8</f>
        <v>1266829.44</v>
      </c>
      <c r="AJ20" s="20">
        <f>1127859.51+106726.91</f>
        <v>1234586.42</v>
      </c>
      <c r="AK20" s="20">
        <f>1575507.5-49994.46</f>
        <v>1525513.04</v>
      </c>
      <c r="AL20" s="20">
        <f>537407.9-460654.57</f>
        <v>76753.330000000016</v>
      </c>
      <c r="AM20" s="20">
        <f>1276835.56-16126.33</f>
        <v>1260709.23</v>
      </c>
      <c r="AN20" s="20">
        <f>271507.61-164.48</f>
        <v>271343.13</v>
      </c>
      <c r="AO20" s="20">
        <f>902286.69-235.03</f>
        <v>902051.65999999992</v>
      </c>
      <c r="AP20" s="20">
        <f>1556023.4+89125.78</f>
        <v>1645149.18</v>
      </c>
      <c r="AQ20" s="20">
        <f>2950923.25+7820.75</f>
        <v>2958744</v>
      </c>
      <c r="AR20" s="20">
        <f>4184175.52-99008</f>
        <v>4085167.52</v>
      </c>
      <c r="AS20" s="20">
        <f>1506868.09+82185.15</f>
        <v>1589053.24</v>
      </c>
      <c r="AT20" s="20">
        <f>215604.82-119711.38</f>
        <v>95893.440000000002</v>
      </c>
      <c r="AU20" s="20">
        <f>569387.5-19640.33</f>
        <v>549747.17000000004</v>
      </c>
      <c r="AV20" s="20">
        <f>2826423.32+607735.57</f>
        <v>3434158.8899999997</v>
      </c>
      <c r="AW20" s="21">
        <f>2877681.47-13258.4</f>
        <v>2864423.0700000003</v>
      </c>
      <c r="AX20" s="21">
        <f>2415730.57-50161.06</f>
        <v>2365569.5099999998</v>
      </c>
      <c r="AY20" s="21">
        <f>2788316.12-20123.98</f>
        <v>2768192.14</v>
      </c>
      <c r="AZ20" s="21">
        <f>3775716.18-250709.58</f>
        <v>3525006.6</v>
      </c>
      <c r="BA20" s="21">
        <f>2608216.13-15040.51</f>
        <v>2593175.62</v>
      </c>
      <c r="BB20" s="21">
        <f>2976788.98-17769.87</f>
        <v>2959019.11</v>
      </c>
      <c r="BC20" s="21">
        <f>2015991.36-2471.54</f>
        <v>2013519.82</v>
      </c>
      <c r="BD20" s="21">
        <f>3890150.61+134190.73</f>
        <v>4024341.34</v>
      </c>
      <c r="BE20" s="21">
        <f>2766117.93-2930.48</f>
        <v>2763187.45</v>
      </c>
      <c r="BF20" s="21">
        <f>2174967.26-94904.73</f>
        <v>2080062.5299999998</v>
      </c>
      <c r="BG20" s="21">
        <f>3742712-162747.91</f>
        <v>3579964.09</v>
      </c>
      <c r="BH20" s="21">
        <f>2976595.93+42000</f>
        <v>3018595.93</v>
      </c>
      <c r="BI20" s="21">
        <f>340404.06-84501.04</f>
        <v>255903.02000000002</v>
      </c>
      <c r="BJ20" s="21">
        <f>2226372.69-2435.15</f>
        <v>2223937.54</v>
      </c>
      <c r="BK20" s="21">
        <f>1773057.7</f>
        <v>1773057.7</v>
      </c>
      <c r="BL20" s="21">
        <f>1872969.99-99837.18</f>
        <v>1773132.81</v>
      </c>
      <c r="BM20" s="21">
        <f>3518387.7-111799.76</f>
        <v>3406587.9400000004</v>
      </c>
      <c r="BN20" s="21">
        <f>2690001.63-66402.57</f>
        <v>2623599.06</v>
      </c>
      <c r="BO20" s="21">
        <f>12021312.52-2487.77</f>
        <v>12018824.75</v>
      </c>
      <c r="BP20" s="21">
        <f>12965058.91-93991.97</f>
        <v>12871066.939999999</v>
      </c>
      <c r="BQ20" s="21">
        <f>10101110.37+261809.89</f>
        <v>10362920.26</v>
      </c>
      <c r="BR20" s="2"/>
    </row>
    <row r="21" spans="2:70" x14ac:dyDescent="0.5">
      <c r="B21" s="17" t="s">
        <v>17</v>
      </c>
      <c r="C21" s="18" t="s">
        <v>18</v>
      </c>
      <c r="D21" s="18" t="s">
        <v>19</v>
      </c>
      <c r="E21" s="18" t="s">
        <v>66</v>
      </c>
      <c r="F21" s="19" t="s">
        <v>102</v>
      </c>
      <c r="G21" s="14">
        <v>5000</v>
      </c>
      <c r="H21" s="14">
        <v>5000</v>
      </c>
      <c r="I21" s="14">
        <v>5000</v>
      </c>
      <c r="J21" s="14">
        <v>5000</v>
      </c>
      <c r="K21" s="14">
        <v>5000</v>
      </c>
      <c r="L21" s="14">
        <v>5000</v>
      </c>
      <c r="M21" s="14">
        <v>5000</v>
      </c>
      <c r="N21" s="14">
        <v>5000</v>
      </c>
      <c r="O21" s="14">
        <v>22146.400000000001</v>
      </c>
      <c r="P21" s="14">
        <v>22146</v>
      </c>
      <c r="Q21" s="14">
        <v>22146.400000000001</v>
      </c>
      <c r="R21" s="20">
        <v>22146.400000000001</v>
      </c>
      <c r="S21" s="14">
        <v>22146.400000000001</v>
      </c>
      <c r="T21" s="20">
        <v>1117116.47</v>
      </c>
      <c r="U21" s="20">
        <v>3145779.75</v>
      </c>
      <c r="V21" s="20">
        <v>3145779.75</v>
      </c>
      <c r="W21" s="20">
        <v>3222215.16</v>
      </c>
      <c r="X21" s="20">
        <v>3333419.34</v>
      </c>
      <c r="Y21" s="20">
        <v>3333419.34</v>
      </c>
      <c r="Z21" s="20">
        <v>126801.28</v>
      </c>
      <c r="AA21" s="20">
        <f>483195.37</f>
        <v>483195.37</v>
      </c>
      <c r="AB21" s="20">
        <f>483195.37</f>
        <v>483195.37</v>
      </c>
      <c r="AC21" s="20">
        <v>0</v>
      </c>
      <c r="AD21" s="20">
        <v>0</v>
      </c>
      <c r="AE21" s="14">
        <f>2228.65</f>
        <v>2228.65</v>
      </c>
      <c r="AF21" s="20">
        <f>663578.33</f>
        <v>663578.32999999996</v>
      </c>
      <c r="AG21" s="20">
        <f>665597.53</f>
        <v>665597.53</v>
      </c>
      <c r="AH21" s="20">
        <f>713196.53</f>
        <v>713196.53</v>
      </c>
      <c r="AI21" s="20">
        <f>763861.23</f>
        <v>763861.23</v>
      </c>
      <c r="AJ21" s="20">
        <f>763861.23</f>
        <v>763861.23</v>
      </c>
      <c r="AK21" s="20">
        <f>889886.23</f>
        <v>889886.23</v>
      </c>
      <c r="AL21" s="20">
        <f>967452.78</f>
        <v>967452.78</v>
      </c>
      <c r="AM21" s="20">
        <f>1006185.78</f>
        <v>1006185.78</v>
      </c>
      <c r="AN21" s="20">
        <f>1006185.78</f>
        <v>1006185.78</v>
      </c>
      <c r="AO21" s="20">
        <f>1163324.78</f>
        <v>1163324.78</v>
      </c>
      <c r="AP21" s="20">
        <v>0</v>
      </c>
      <c r="AQ21" s="20">
        <v>0</v>
      </c>
      <c r="AR21" s="20">
        <v>571935</v>
      </c>
      <c r="AS21" s="20">
        <f>86171</f>
        <v>86171</v>
      </c>
      <c r="AT21" s="20">
        <f>86171</f>
        <v>86171</v>
      </c>
      <c r="AU21" s="20">
        <f>181715.28</f>
        <v>181715.28</v>
      </c>
      <c r="AV21" s="20">
        <v>192007.99</v>
      </c>
      <c r="AW21" s="21">
        <f>192007.9</f>
        <v>192007.9</v>
      </c>
      <c r="AX21" s="21">
        <f>325973.4</f>
        <v>325973.40000000002</v>
      </c>
      <c r="AY21" s="21">
        <f>369655.4</f>
        <v>369655.4</v>
      </c>
      <c r="AZ21" s="21">
        <f>369655.4</f>
        <v>369655.4</v>
      </c>
      <c r="BA21" s="21">
        <f>430814.4</f>
        <v>430814.4</v>
      </c>
      <c r="BB21" s="21">
        <f>430814.4</f>
        <v>430814.4</v>
      </c>
      <c r="BC21" s="21">
        <f>430814.4</f>
        <v>430814.4</v>
      </c>
      <c r="BD21" s="21">
        <v>580551.96</v>
      </c>
      <c r="BE21" s="21">
        <v>580551.96</v>
      </c>
      <c r="BF21" s="21">
        <v>580551.96</v>
      </c>
      <c r="BG21" s="21">
        <v>670159.96</v>
      </c>
      <c r="BH21" s="21">
        <v>690812.96</v>
      </c>
      <c r="BI21" s="21">
        <v>690812.96</v>
      </c>
      <c r="BJ21" s="21">
        <v>848035.23</v>
      </c>
      <c r="BK21" s="21">
        <f>994408.12</f>
        <v>994408.12</v>
      </c>
      <c r="BL21" s="21">
        <f>994408.12</f>
        <v>994408.12</v>
      </c>
      <c r="BM21" s="21">
        <f>1124496.12</f>
        <v>1124496.1200000001</v>
      </c>
      <c r="BN21" s="21">
        <f>1251335.17</f>
        <v>1251335.17</v>
      </c>
      <c r="BO21" s="21">
        <f>1251335.17</f>
        <v>1251335.17</v>
      </c>
      <c r="BP21" s="21">
        <f>929756.94</f>
        <v>929756.94</v>
      </c>
      <c r="BQ21" s="21">
        <f>1010699.61</f>
        <v>1010699.61</v>
      </c>
    </row>
    <row r="22" spans="2:70" x14ac:dyDescent="0.5">
      <c r="B22" s="17">
        <v>235</v>
      </c>
      <c r="C22" s="18" t="s">
        <v>12</v>
      </c>
      <c r="D22" s="18" t="s">
        <v>20</v>
      </c>
      <c r="E22" s="18" t="s">
        <v>10</v>
      </c>
      <c r="F22" s="19" t="s">
        <v>104</v>
      </c>
      <c r="G22" s="14">
        <v>1597463.74</v>
      </c>
      <c r="H22" s="14">
        <v>1597463.74</v>
      </c>
      <c r="I22" s="14">
        <v>1597464</v>
      </c>
      <c r="J22" s="14">
        <v>1597464</v>
      </c>
      <c r="K22" s="14">
        <v>1597464</v>
      </c>
      <c r="L22" s="14">
        <v>1597464</v>
      </c>
      <c r="M22" s="14">
        <v>1597463.74</v>
      </c>
      <c r="N22" s="14">
        <v>1597463.74</v>
      </c>
      <c r="O22" s="14">
        <v>1597463.74</v>
      </c>
      <c r="P22" s="14">
        <v>1597463.74</v>
      </c>
      <c r="Q22" s="14">
        <v>1597463.74</v>
      </c>
      <c r="R22" s="20">
        <v>1597463.74</v>
      </c>
      <c r="S22" s="14">
        <v>1597463.74</v>
      </c>
      <c r="T22" s="14">
        <v>1597463.74</v>
      </c>
      <c r="U22" s="14">
        <v>1597463.74</v>
      </c>
      <c r="V22" s="14">
        <v>1597463.74</v>
      </c>
      <c r="W22" s="14">
        <v>1597463.74</v>
      </c>
      <c r="X22" s="14">
        <v>1597463.74</v>
      </c>
      <c r="Y22" s="14">
        <v>1597463.74</v>
      </c>
      <c r="Z22" s="14">
        <v>1597463.74</v>
      </c>
      <c r="AA22" s="20">
        <f t="shared" ref="AA22:AF22" si="55">1597463.74</f>
        <v>1597463.74</v>
      </c>
      <c r="AB22" s="20">
        <f t="shared" si="55"/>
        <v>1597463.74</v>
      </c>
      <c r="AC22" s="20">
        <f t="shared" si="55"/>
        <v>1597463.74</v>
      </c>
      <c r="AD22" s="20">
        <f t="shared" si="55"/>
        <v>1597463.74</v>
      </c>
      <c r="AE22" s="14">
        <f t="shared" si="55"/>
        <v>1597463.74</v>
      </c>
      <c r="AF22" s="20">
        <f t="shared" si="55"/>
        <v>1597463.74</v>
      </c>
      <c r="AG22" s="20">
        <f t="shared" ref="AG22:AU22" si="56">1597463.74</f>
        <v>1597463.74</v>
      </c>
      <c r="AH22" s="20">
        <f t="shared" si="56"/>
        <v>1597463.74</v>
      </c>
      <c r="AI22" s="20">
        <f t="shared" si="56"/>
        <v>1597463.74</v>
      </c>
      <c r="AJ22" s="20">
        <f t="shared" si="56"/>
        <v>1597463.74</v>
      </c>
      <c r="AK22" s="20">
        <f t="shared" si="56"/>
        <v>1597463.74</v>
      </c>
      <c r="AL22" s="20">
        <f t="shared" si="56"/>
        <v>1597463.74</v>
      </c>
      <c r="AM22" s="20">
        <f t="shared" si="56"/>
        <v>1597463.74</v>
      </c>
      <c r="AN22" s="20">
        <f t="shared" si="56"/>
        <v>1597463.74</v>
      </c>
      <c r="AO22" s="20">
        <f t="shared" si="56"/>
        <v>1597463.74</v>
      </c>
      <c r="AP22" s="20">
        <f t="shared" si="56"/>
        <v>1597463.74</v>
      </c>
      <c r="AQ22" s="20">
        <f t="shared" si="56"/>
        <v>1597463.74</v>
      </c>
      <c r="AR22" s="20">
        <f t="shared" si="56"/>
        <v>1597463.74</v>
      </c>
      <c r="AS22" s="20">
        <f t="shared" si="56"/>
        <v>1597463.74</v>
      </c>
      <c r="AT22" s="20">
        <f t="shared" si="56"/>
        <v>1597463.74</v>
      </c>
      <c r="AU22" s="20">
        <f t="shared" si="56"/>
        <v>1597463.74</v>
      </c>
      <c r="AV22" s="20">
        <v>1597463.74</v>
      </c>
      <c r="AW22" s="21">
        <f t="shared" ref="AW22:BQ22" si="57">1597463.74</f>
        <v>1597463.74</v>
      </c>
      <c r="AX22" s="21">
        <f t="shared" si="57"/>
        <v>1597463.74</v>
      </c>
      <c r="AY22" s="21">
        <f t="shared" si="57"/>
        <v>1597463.74</v>
      </c>
      <c r="AZ22" s="21">
        <f t="shared" si="57"/>
        <v>1597463.74</v>
      </c>
      <c r="BA22" s="21">
        <f t="shared" si="57"/>
        <v>1597463.74</v>
      </c>
      <c r="BB22" s="21">
        <f t="shared" si="57"/>
        <v>1597463.74</v>
      </c>
      <c r="BC22" s="21">
        <f t="shared" si="57"/>
        <v>1597463.74</v>
      </c>
      <c r="BD22" s="21">
        <f t="shared" si="57"/>
        <v>1597463.74</v>
      </c>
      <c r="BE22" s="21">
        <f t="shared" si="57"/>
        <v>1597463.74</v>
      </c>
      <c r="BF22" s="21">
        <f t="shared" si="57"/>
        <v>1597463.74</v>
      </c>
      <c r="BG22" s="21">
        <f t="shared" si="57"/>
        <v>1597463.74</v>
      </c>
      <c r="BH22" s="21">
        <f t="shared" si="57"/>
        <v>1597463.74</v>
      </c>
      <c r="BI22" s="21">
        <f t="shared" si="57"/>
        <v>1597463.74</v>
      </c>
      <c r="BJ22" s="21">
        <f t="shared" si="57"/>
        <v>1597463.74</v>
      </c>
      <c r="BK22" s="21">
        <f t="shared" si="57"/>
        <v>1597463.74</v>
      </c>
      <c r="BL22" s="21">
        <f t="shared" si="57"/>
        <v>1597463.74</v>
      </c>
      <c r="BM22" s="21">
        <f t="shared" si="57"/>
        <v>1597463.74</v>
      </c>
      <c r="BN22" s="21">
        <f t="shared" si="57"/>
        <v>1597463.74</v>
      </c>
      <c r="BO22" s="21">
        <f t="shared" si="57"/>
        <v>1597463.74</v>
      </c>
      <c r="BP22" s="21">
        <f t="shared" si="57"/>
        <v>1597463.74</v>
      </c>
      <c r="BQ22" s="21">
        <f t="shared" si="57"/>
        <v>1597463.74</v>
      </c>
    </row>
    <row r="23" spans="2:70" x14ac:dyDescent="0.5">
      <c r="B23" s="17">
        <v>700</v>
      </c>
      <c r="C23" s="18" t="s">
        <v>21</v>
      </c>
      <c r="D23" s="18" t="s">
        <v>22</v>
      </c>
      <c r="E23" s="18" t="s">
        <v>10</v>
      </c>
      <c r="F23" s="19" t="s">
        <v>71</v>
      </c>
      <c r="G23" s="14">
        <v>46129</v>
      </c>
      <c r="H23" s="14">
        <v>46129</v>
      </c>
      <c r="I23" s="14">
        <v>46129</v>
      </c>
      <c r="J23" s="14">
        <v>46129</v>
      </c>
      <c r="K23" s="14">
        <v>46129</v>
      </c>
      <c r="L23" s="14">
        <v>46129</v>
      </c>
      <c r="M23" s="14">
        <v>46129</v>
      </c>
      <c r="N23" s="14">
        <v>46129</v>
      </c>
      <c r="O23" s="14">
        <v>46129</v>
      </c>
      <c r="P23" s="14">
        <v>46129</v>
      </c>
      <c r="Q23" s="14">
        <v>46129</v>
      </c>
      <c r="R23" s="20">
        <v>46129</v>
      </c>
      <c r="S23" s="14">
        <v>46129</v>
      </c>
      <c r="T23" s="14">
        <v>46129</v>
      </c>
      <c r="U23" s="14">
        <v>46129</v>
      </c>
      <c r="V23" s="14">
        <v>46129</v>
      </c>
      <c r="W23" s="14">
        <v>46129</v>
      </c>
      <c r="X23" s="14">
        <v>46129</v>
      </c>
      <c r="Y23" s="14">
        <v>46129</v>
      </c>
      <c r="Z23" s="14">
        <v>46129</v>
      </c>
      <c r="AA23" s="20">
        <f>46129</f>
        <v>46129</v>
      </c>
      <c r="AB23" s="20">
        <f>46129</f>
        <v>46129</v>
      </c>
      <c r="AC23" s="20">
        <f>46129</f>
        <v>46129</v>
      </c>
      <c r="AD23" s="20">
        <f>46129</f>
        <v>46129</v>
      </c>
      <c r="AE23" s="14">
        <f>46129</f>
        <v>46129</v>
      </c>
      <c r="AF23" s="20">
        <f>46129</f>
        <v>46129</v>
      </c>
      <c r="AG23" s="20">
        <f>46129</f>
        <v>46129</v>
      </c>
      <c r="AH23" s="20">
        <f>46129</f>
        <v>46129</v>
      </c>
      <c r="AI23" s="20">
        <f>46129</f>
        <v>46129</v>
      </c>
      <c r="AJ23" s="20">
        <f>46129</f>
        <v>46129</v>
      </c>
      <c r="AK23" s="20">
        <f>46129</f>
        <v>46129</v>
      </c>
      <c r="AL23" s="20">
        <f>46129</f>
        <v>46129</v>
      </c>
      <c r="AM23" s="20">
        <f>46129</f>
        <v>46129</v>
      </c>
      <c r="AN23" s="20">
        <f>46129</f>
        <v>46129</v>
      </c>
      <c r="AO23" s="20">
        <f>46129</f>
        <v>46129</v>
      </c>
      <c r="AP23" s="20">
        <f>46129</f>
        <v>46129</v>
      </c>
      <c r="AQ23" s="20">
        <f>46129</f>
        <v>46129</v>
      </c>
      <c r="AR23" s="20">
        <f>46129</f>
        <v>46129</v>
      </c>
      <c r="AS23" s="20">
        <f>46129</f>
        <v>46129</v>
      </c>
      <c r="AT23" s="20">
        <f>46129</f>
        <v>46129</v>
      </c>
      <c r="AU23" s="20">
        <f>46129</f>
        <v>46129</v>
      </c>
      <c r="AV23" s="20">
        <f>46129</f>
        <v>46129</v>
      </c>
      <c r="AW23" s="21">
        <f>46129</f>
        <v>46129</v>
      </c>
      <c r="AX23" s="21">
        <f>46129</f>
        <v>46129</v>
      </c>
      <c r="AY23" s="21">
        <f>46129</f>
        <v>46129</v>
      </c>
      <c r="AZ23" s="21">
        <f>46129</f>
        <v>46129</v>
      </c>
      <c r="BA23" s="21">
        <f>46129</f>
        <v>46129</v>
      </c>
      <c r="BB23" s="21">
        <f>46129</f>
        <v>46129</v>
      </c>
      <c r="BC23" s="21">
        <f>46129</f>
        <v>46129</v>
      </c>
      <c r="BD23" s="21">
        <f>46129</f>
        <v>46129</v>
      </c>
      <c r="BE23" s="21">
        <f>46129</f>
        <v>46129</v>
      </c>
      <c r="BF23" s="21">
        <f>46129</f>
        <v>46129</v>
      </c>
      <c r="BG23" s="21">
        <f>46129</f>
        <v>46129</v>
      </c>
      <c r="BH23" s="21">
        <f>46129</f>
        <v>46129</v>
      </c>
      <c r="BI23" s="21">
        <f>46129</f>
        <v>46129</v>
      </c>
      <c r="BJ23" s="21">
        <f>46129</f>
        <v>46129</v>
      </c>
      <c r="BK23" s="21">
        <f>46129</f>
        <v>46129</v>
      </c>
      <c r="BL23" s="21">
        <f>46129</f>
        <v>46129</v>
      </c>
      <c r="BM23" s="21">
        <f>46129</f>
        <v>46129</v>
      </c>
      <c r="BN23" s="21">
        <f>46129</f>
        <v>46129</v>
      </c>
      <c r="BO23" s="21">
        <f>46129</f>
        <v>46129</v>
      </c>
      <c r="BP23" s="21">
        <f>46129</f>
        <v>46129</v>
      </c>
      <c r="BQ23" s="21">
        <f>46129</f>
        <v>46129</v>
      </c>
    </row>
    <row r="24" spans="2:70" x14ac:dyDescent="0.5">
      <c r="B24" s="17">
        <v>201</v>
      </c>
      <c r="C24" s="18" t="s">
        <v>23</v>
      </c>
      <c r="D24" s="18" t="s">
        <v>24</v>
      </c>
      <c r="E24" s="18" t="s">
        <v>10</v>
      </c>
      <c r="F24" s="19" t="s">
        <v>72</v>
      </c>
      <c r="G24" s="14">
        <v>836997.98</v>
      </c>
      <c r="H24" s="14">
        <f>922471.76-75677</f>
        <v>846794.76</v>
      </c>
      <c r="I24" s="14">
        <v>922472</v>
      </c>
      <c r="J24" s="14">
        <v>846795</v>
      </c>
      <c r="K24" s="14">
        <v>846795</v>
      </c>
      <c r="L24" s="14">
        <v>846795</v>
      </c>
      <c r="M24" s="14">
        <v>846794.76</v>
      </c>
      <c r="N24" s="14">
        <v>846794.76</v>
      </c>
      <c r="O24" s="14">
        <v>846794.76</v>
      </c>
      <c r="P24" s="14">
        <v>846794.76</v>
      </c>
      <c r="Q24" s="14">
        <v>846794.76</v>
      </c>
      <c r="R24" s="20">
        <v>846794.76</v>
      </c>
      <c r="S24" s="14">
        <v>846794.76</v>
      </c>
      <c r="T24" s="14">
        <v>846794.76</v>
      </c>
      <c r="U24" s="14">
        <v>846794.76</v>
      </c>
      <c r="V24" s="14">
        <v>846794.76</v>
      </c>
      <c r="W24" s="14">
        <v>846794.76</v>
      </c>
      <c r="X24" s="14">
        <v>846794.76</v>
      </c>
      <c r="Y24" s="14">
        <v>846794.76</v>
      </c>
      <c r="Z24" s="14">
        <v>846794.76</v>
      </c>
      <c r="AA24" s="20">
        <f>846794.76</f>
        <v>846794.76</v>
      </c>
      <c r="AB24" s="20">
        <f>846794.76-336933.32</f>
        <v>509861.44</v>
      </c>
      <c r="AC24" s="20">
        <f>509861.44-39280.61</f>
        <v>470580.83</v>
      </c>
      <c r="AD24" s="20">
        <f>470580.83</f>
        <v>470580.83</v>
      </c>
      <c r="AE24" s="14">
        <f>470580.83</f>
        <v>470580.83</v>
      </c>
      <c r="AF24" s="20">
        <f t="shared" ref="AF24:AU24" si="58">577956.08</f>
        <v>577956.07999999996</v>
      </c>
      <c r="AG24" s="20">
        <f t="shared" si="58"/>
        <v>577956.07999999996</v>
      </c>
      <c r="AH24" s="20">
        <f t="shared" si="58"/>
        <v>577956.07999999996</v>
      </c>
      <c r="AI24" s="20">
        <f t="shared" si="58"/>
        <v>577956.07999999996</v>
      </c>
      <c r="AJ24" s="20">
        <f t="shared" si="58"/>
        <v>577956.07999999996</v>
      </c>
      <c r="AK24" s="20">
        <f t="shared" si="58"/>
        <v>577956.07999999996</v>
      </c>
      <c r="AL24" s="20">
        <f t="shared" si="58"/>
        <v>577956.07999999996</v>
      </c>
      <c r="AM24" s="20">
        <f t="shared" si="58"/>
        <v>577956.07999999996</v>
      </c>
      <c r="AN24" s="20">
        <f t="shared" si="58"/>
        <v>577956.07999999996</v>
      </c>
      <c r="AO24" s="20">
        <f t="shared" si="58"/>
        <v>577956.07999999996</v>
      </c>
      <c r="AP24" s="20">
        <f t="shared" si="58"/>
        <v>577956.07999999996</v>
      </c>
      <c r="AQ24" s="20">
        <f t="shared" si="58"/>
        <v>577956.07999999996</v>
      </c>
      <c r="AR24" s="20">
        <f t="shared" si="58"/>
        <v>577956.07999999996</v>
      </c>
      <c r="AS24" s="20">
        <f t="shared" si="58"/>
        <v>577956.07999999996</v>
      </c>
      <c r="AT24" s="20">
        <f t="shared" si="58"/>
        <v>577956.07999999996</v>
      </c>
      <c r="AU24" s="20">
        <f t="shared" si="58"/>
        <v>577956.07999999996</v>
      </c>
      <c r="AV24" s="20">
        <f t="shared" ref="AV24:BN24" si="59">577956.08</f>
        <v>577956.07999999996</v>
      </c>
      <c r="AW24" s="21">
        <f t="shared" si="59"/>
        <v>577956.07999999996</v>
      </c>
      <c r="AX24" s="21">
        <f t="shared" si="59"/>
        <v>577956.07999999996</v>
      </c>
      <c r="AY24" s="21">
        <f t="shared" si="59"/>
        <v>577956.07999999996</v>
      </c>
      <c r="AZ24" s="21">
        <f t="shared" si="59"/>
        <v>577956.07999999996</v>
      </c>
      <c r="BA24" s="21">
        <f t="shared" si="59"/>
        <v>577956.07999999996</v>
      </c>
      <c r="BB24" s="21">
        <f t="shared" si="59"/>
        <v>577956.07999999996</v>
      </c>
      <c r="BC24" s="21">
        <f t="shared" si="59"/>
        <v>577956.07999999996</v>
      </c>
      <c r="BD24" s="21">
        <f t="shared" si="59"/>
        <v>577956.07999999996</v>
      </c>
      <c r="BE24" s="21">
        <f t="shared" si="59"/>
        <v>577956.07999999996</v>
      </c>
      <c r="BF24" s="21">
        <f t="shared" si="59"/>
        <v>577956.07999999996</v>
      </c>
      <c r="BG24" s="21">
        <f t="shared" si="59"/>
        <v>577956.07999999996</v>
      </c>
      <c r="BH24" s="21">
        <f t="shared" si="59"/>
        <v>577956.07999999996</v>
      </c>
      <c r="BI24" s="21">
        <f t="shared" si="59"/>
        <v>577956.07999999996</v>
      </c>
      <c r="BJ24" s="21">
        <f t="shared" si="59"/>
        <v>577956.07999999996</v>
      </c>
      <c r="BK24" s="21">
        <f t="shared" si="59"/>
        <v>577956.07999999996</v>
      </c>
      <c r="BL24" s="21">
        <f t="shared" si="59"/>
        <v>577956.07999999996</v>
      </c>
      <c r="BM24" s="21">
        <f t="shared" si="59"/>
        <v>577956.07999999996</v>
      </c>
      <c r="BN24" s="21">
        <f t="shared" si="59"/>
        <v>577956.07999999996</v>
      </c>
      <c r="BO24" s="21">
        <f>578822.42</f>
        <v>578822.42000000004</v>
      </c>
      <c r="BP24" s="21">
        <f>578822.42</f>
        <v>578822.42000000004</v>
      </c>
      <c r="BQ24" s="21">
        <f>578822.42</f>
        <v>578822.42000000004</v>
      </c>
    </row>
    <row r="25" spans="2:70" x14ac:dyDescent="0.5">
      <c r="B25" s="17">
        <v>700</v>
      </c>
      <c r="C25" s="18" t="s">
        <v>25</v>
      </c>
      <c r="D25" s="18" t="s">
        <v>22</v>
      </c>
      <c r="E25" s="18" t="s">
        <v>10</v>
      </c>
      <c r="F25" s="19" t="s">
        <v>73</v>
      </c>
      <c r="G25" s="14">
        <v>141175.35999999999</v>
      </c>
      <c r="H25" s="14">
        <v>153483.60999999999</v>
      </c>
      <c r="I25" s="14">
        <v>153484</v>
      </c>
      <c r="J25" s="14">
        <v>153484</v>
      </c>
      <c r="K25" s="14">
        <v>153484</v>
      </c>
      <c r="L25" s="14">
        <v>153484</v>
      </c>
      <c r="M25" s="14">
        <v>153484</v>
      </c>
      <c r="N25" s="14">
        <v>153484</v>
      </c>
      <c r="O25" s="14">
        <v>153484</v>
      </c>
      <c r="P25" s="14">
        <v>153484</v>
      </c>
      <c r="Q25" s="14">
        <v>153484</v>
      </c>
      <c r="R25" s="20">
        <v>153484</v>
      </c>
      <c r="S25" s="14">
        <v>153484</v>
      </c>
      <c r="T25" s="14">
        <v>153484</v>
      </c>
      <c r="U25" s="14">
        <v>153484</v>
      </c>
      <c r="V25" s="14">
        <v>153484</v>
      </c>
      <c r="W25" s="14">
        <v>153484</v>
      </c>
      <c r="X25" s="14">
        <v>153484</v>
      </c>
      <c r="Y25" s="14">
        <v>153484</v>
      </c>
      <c r="Z25" s="14">
        <v>153484</v>
      </c>
      <c r="AA25" s="20">
        <f t="shared" ref="AA25:AF25" si="60">153484</f>
        <v>153484</v>
      </c>
      <c r="AB25" s="20">
        <f t="shared" si="60"/>
        <v>153484</v>
      </c>
      <c r="AC25" s="20">
        <f t="shared" si="60"/>
        <v>153484</v>
      </c>
      <c r="AD25" s="20">
        <f t="shared" si="60"/>
        <v>153484</v>
      </c>
      <c r="AE25" s="14">
        <f t="shared" si="60"/>
        <v>153484</v>
      </c>
      <c r="AF25" s="20">
        <f t="shared" si="60"/>
        <v>153484</v>
      </c>
      <c r="AG25" s="20">
        <f t="shared" ref="AG25:AU25" si="61">153484</f>
        <v>153484</v>
      </c>
      <c r="AH25" s="20">
        <f t="shared" si="61"/>
        <v>153484</v>
      </c>
      <c r="AI25" s="20">
        <f t="shared" si="61"/>
        <v>153484</v>
      </c>
      <c r="AJ25" s="20">
        <f t="shared" si="61"/>
        <v>153484</v>
      </c>
      <c r="AK25" s="20">
        <f t="shared" si="61"/>
        <v>153484</v>
      </c>
      <c r="AL25" s="20">
        <f t="shared" si="61"/>
        <v>153484</v>
      </c>
      <c r="AM25" s="20">
        <f t="shared" si="61"/>
        <v>153484</v>
      </c>
      <c r="AN25" s="20">
        <f t="shared" si="61"/>
        <v>153484</v>
      </c>
      <c r="AO25" s="20">
        <f t="shared" si="61"/>
        <v>153484</v>
      </c>
      <c r="AP25" s="20">
        <f t="shared" si="61"/>
        <v>153484</v>
      </c>
      <c r="AQ25" s="20">
        <f t="shared" si="61"/>
        <v>153484</v>
      </c>
      <c r="AR25" s="20">
        <f t="shared" si="61"/>
        <v>153484</v>
      </c>
      <c r="AS25" s="20">
        <f t="shared" si="61"/>
        <v>153484</v>
      </c>
      <c r="AT25" s="20">
        <f t="shared" si="61"/>
        <v>153484</v>
      </c>
      <c r="AU25" s="20">
        <f t="shared" si="61"/>
        <v>153484</v>
      </c>
      <c r="AV25" s="20">
        <f t="shared" ref="AV25:BQ25" si="62">153484</f>
        <v>153484</v>
      </c>
      <c r="AW25" s="21">
        <f t="shared" si="62"/>
        <v>153484</v>
      </c>
      <c r="AX25" s="21">
        <f t="shared" si="62"/>
        <v>153484</v>
      </c>
      <c r="AY25" s="21">
        <f t="shared" si="62"/>
        <v>153484</v>
      </c>
      <c r="AZ25" s="21">
        <f t="shared" si="62"/>
        <v>153484</v>
      </c>
      <c r="BA25" s="21">
        <f t="shared" si="62"/>
        <v>153484</v>
      </c>
      <c r="BB25" s="21">
        <f t="shared" si="62"/>
        <v>153484</v>
      </c>
      <c r="BC25" s="21">
        <f t="shared" si="62"/>
        <v>153484</v>
      </c>
      <c r="BD25" s="21">
        <f t="shared" si="62"/>
        <v>153484</v>
      </c>
      <c r="BE25" s="21">
        <f t="shared" si="62"/>
        <v>153484</v>
      </c>
      <c r="BF25" s="21">
        <f t="shared" si="62"/>
        <v>153484</v>
      </c>
      <c r="BG25" s="21">
        <f t="shared" si="62"/>
        <v>153484</v>
      </c>
      <c r="BH25" s="21">
        <f t="shared" si="62"/>
        <v>153484</v>
      </c>
      <c r="BI25" s="21">
        <f t="shared" si="62"/>
        <v>153484</v>
      </c>
      <c r="BJ25" s="21">
        <f t="shared" si="62"/>
        <v>153484</v>
      </c>
      <c r="BK25" s="21">
        <f t="shared" si="62"/>
        <v>153484</v>
      </c>
      <c r="BL25" s="21">
        <f t="shared" si="62"/>
        <v>153484</v>
      </c>
      <c r="BM25" s="21">
        <f t="shared" si="62"/>
        <v>153484</v>
      </c>
      <c r="BN25" s="21">
        <f t="shared" si="62"/>
        <v>153484</v>
      </c>
      <c r="BO25" s="21">
        <f t="shared" si="62"/>
        <v>153484</v>
      </c>
      <c r="BP25" s="21">
        <f t="shared" si="62"/>
        <v>153484</v>
      </c>
      <c r="BQ25" s="21">
        <f t="shared" si="62"/>
        <v>153484</v>
      </c>
    </row>
    <row r="26" spans="2:70" x14ac:dyDescent="0.5">
      <c r="B26" s="17" t="s">
        <v>26</v>
      </c>
      <c r="C26" s="18" t="s">
        <v>27</v>
      </c>
      <c r="D26" s="18" t="s">
        <v>7</v>
      </c>
      <c r="E26" s="18" t="s">
        <v>10</v>
      </c>
      <c r="F26" s="19" t="s">
        <v>96</v>
      </c>
      <c r="G26" s="14">
        <v>1156330.49</v>
      </c>
      <c r="H26" s="14">
        <f>818279.48+381367</f>
        <v>1199646.48</v>
      </c>
      <c r="I26" s="14">
        <v>1199646</v>
      </c>
      <c r="J26" s="14">
        <v>1199646</v>
      </c>
      <c r="K26" s="14">
        <f>1668934.41</f>
        <v>1668934.41</v>
      </c>
      <c r="L26" s="14">
        <f>1668934.41</f>
        <v>1668934.41</v>
      </c>
      <c r="M26" s="14">
        <v>1734359.37</v>
      </c>
      <c r="N26" s="14">
        <f>1734359.37+391702.35</f>
        <v>2126061.7200000002</v>
      </c>
      <c r="O26" s="14">
        <f>1734359.37</f>
        <v>1734359.37</v>
      </c>
      <c r="P26" s="14">
        <f>1734359.37</f>
        <v>1734359.37</v>
      </c>
      <c r="Q26" s="14">
        <f>1934359.37-72829.31</f>
        <v>1861530.06</v>
      </c>
      <c r="R26" s="20">
        <f>2039871.87+1018+166965.13</f>
        <v>2207855</v>
      </c>
      <c r="S26" s="14">
        <f>2039871.87+4416+227114.53</f>
        <v>2271402.4</v>
      </c>
      <c r="T26" s="14">
        <f>2238365.43+61180</f>
        <v>2299545.4300000002</v>
      </c>
      <c r="U26" s="14">
        <f>2253176.69</f>
        <v>2253176.69</v>
      </c>
      <c r="V26" s="14">
        <f>2802891.47</f>
        <v>2802891.47</v>
      </c>
      <c r="W26" s="14">
        <f>2266271.25+450831.35</f>
        <v>2717102.6</v>
      </c>
      <c r="X26" s="14">
        <f>2659430.06</f>
        <v>2659430.06</v>
      </c>
      <c r="Y26" s="14">
        <f>2655818.69+258601.18</f>
        <v>2914419.87</v>
      </c>
      <c r="Z26" s="14">
        <f>2758376.61</f>
        <v>2758376.61</v>
      </c>
      <c r="AA26" s="20">
        <f>2948493.93+87784.34</f>
        <v>3036278.27</v>
      </c>
      <c r="AB26" s="20">
        <f>2931954.37+156939.36</f>
        <v>3088893.73</v>
      </c>
      <c r="AC26" s="20">
        <f>2918462.37+120676.26</f>
        <v>3039138.63</v>
      </c>
      <c r="AD26" s="20">
        <f>3039138.63+43035.82</f>
        <v>3082174.4499999997</v>
      </c>
      <c r="AE26" s="14">
        <f>2470215.35+189046.23</f>
        <v>2659261.58</v>
      </c>
      <c r="AF26" s="20">
        <f>3174887.98-89412.22</f>
        <v>3085475.76</v>
      </c>
      <c r="AG26" s="20">
        <f>3133055.28-74027.16</f>
        <v>3059028.1199999996</v>
      </c>
      <c r="AH26" s="20">
        <f>2962361.47+426215.63</f>
        <v>3388577.1</v>
      </c>
      <c r="AI26" s="20">
        <f>3056632.69+271289.11</f>
        <v>3327921.8</v>
      </c>
      <c r="AJ26" s="20">
        <f>3174770.47+249977.55</f>
        <v>3424748.02</v>
      </c>
      <c r="AK26" s="20">
        <f>3413394.89+174385.49</f>
        <v>3587780.38</v>
      </c>
      <c r="AL26" s="20">
        <f>3399578.12+6080.24</f>
        <v>3405658.3600000003</v>
      </c>
      <c r="AM26" s="20">
        <f>3391053.64+328626.16</f>
        <v>3719679.8000000003</v>
      </c>
      <c r="AN26" s="20">
        <f>3376166.43+204482.35</f>
        <v>3580648.7800000003</v>
      </c>
      <c r="AO26" s="20">
        <f>3567202.26-114990.55</f>
        <v>3452211.71</v>
      </c>
      <c r="AP26" s="20">
        <f>3569467.19+142871.82</f>
        <v>3712339.01</v>
      </c>
      <c r="AQ26" s="20">
        <f>3696717.33+127751.26</f>
        <v>3824468.59</v>
      </c>
      <c r="AR26" s="20">
        <f>3680376.27+44288.02</f>
        <v>3724664.29</v>
      </c>
      <c r="AS26" s="20">
        <f>3634467.3+342878.21</f>
        <v>3977345.51</v>
      </c>
      <c r="AT26" s="20">
        <f>3795978.75+13596.74</f>
        <v>3809575.49</v>
      </c>
      <c r="AU26" s="20">
        <f>3763666.52-19183.61</f>
        <v>3744482.91</v>
      </c>
      <c r="AV26" s="20">
        <f>3698573.94+95914.61</f>
        <v>3794488.55</v>
      </c>
      <c r="AW26" s="21">
        <f>3652664.97+188003.5</f>
        <v>3840668.47</v>
      </c>
      <c r="AX26" s="21">
        <f>3890674.11-56617.64</f>
        <v>3834056.4699999997</v>
      </c>
      <c r="AY26" s="21">
        <f>3788147.5+33097.98</f>
        <v>3821245.48</v>
      </c>
      <c r="AZ26" s="21">
        <f>3775336.51+478157.58</f>
        <v>4253494.09</v>
      </c>
      <c r="BA26" s="21">
        <f>4207585.12-56986.65</f>
        <v>4150598.47</v>
      </c>
      <c r="BB26" s="21">
        <f>4104689.5+109381.9</f>
        <v>4214071.4000000004</v>
      </c>
      <c r="BC26" s="21">
        <f>4058780.53+210800.84</f>
        <v>4269581.37</v>
      </c>
      <c r="BD26" s="21">
        <f>4122253.46+231275.06</f>
        <v>4353528.5199999996</v>
      </c>
      <c r="BE26" s="21">
        <f>4307619.55-31413.67</f>
        <v>4276205.88</v>
      </c>
      <c r="BF26" s="21">
        <f>4230296.91-170197.02</f>
        <v>4060099.89</v>
      </c>
      <c r="BG26" s="21">
        <f>4014190.92-178285.22</f>
        <v>3835905.6999999997</v>
      </c>
      <c r="BH26" s="21">
        <f>3968281.95+12478.82</f>
        <v>3980760.77</v>
      </c>
      <c r="BI26" s="21">
        <f>3922372.98-890554.36</f>
        <v>3031818.62</v>
      </c>
      <c r="BJ26" s="21">
        <f>2922372.98</f>
        <v>2922372.98</v>
      </c>
      <c r="BK26" s="21">
        <f>3410359.02</f>
        <v>3410359.02</v>
      </c>
      <c r="BL26" s="21">
        <v>3368095.82</v>
      </c>
      <c r="BM26" s="21">
        <f>3325832.62</f>
        <v>3325832.62</v>
      </c>
      <c r="BN26" s="21">
        <f>3283569.42</f>
        <v>3283569.42</v>
      </c>
      <c r="BO26" s="21">
        <f>3241306.22</f>
        <v>3241306.22</v>
      </c>
      <c r="BP26" s="21">
        <f>3199043.02-1707616.58</f>
        <v>1491426.44</v>
      </c>
      <c r="BQ26" s="21">
        <f>1449163.24-78082.14</f>
        <v>1371081.1</v>
      </c>
    </row>
    <row r="27" spans="2:70" x14ac:dyDescent="0.5">
      <c r="B27" s="17" t="s">
        <v>28</v>
      </c>
      <c r="C27" s="18" t="s">
        <v>29</v>
      </c>
      <c r="D27" s="18" t="s">
        <v>30</v>
      </c>
      <c r="E27" s="18" t="s">
        <v>116</v>
      </c>
      <c r="F27" s="52" t="s">
        <v>137</v>
      </c>
      <c r="G27" s="14">
        <f>9614.95+68713.63+1190+61829.59+2088802.32+81172.47+991.65+70</f>
        <v>2312384.6100000003</v>
      </c>
      <c r="H27" s="14">
        <f>70+1667.03+1219+5935.11+68713.63+1190+61830.42+2020857.11+635.03+81173.81</f>
        <v>2243291.14</v>
      </c>
      <c r="I27" s="14">
        <f>142696+2020857</f>
        <v>2163553</v>
      </c>
      <c r="J27" s="14">
        <f>171262+2020857</f>
        <v>2192119</v>
      </c>
      <c r="K27" s="14">
        <f>20497.34+4994.98+68713.63+36192.39+61830.52+2020857</f>
        <v>2213085.86</v>
      </c>
      <c r="L27" s="14">
        <f>1277.39+68713.63+61830.57+10211.82+1667.03+1373.99+2020857</f>
        <v>2165931.4300000002</v>
      </c>
      <c r="M27" s="14">
        <f>11793.62+68713.63+1372.39+45499.06+1667.03+1304.33+2020857</f>
        <v>2151207.06</v>
      </c>
      <c r="N27" s="14">
        <f>1467.39+68713.63+45499.1+12095.17+1667.03+1045.09+1591.52+2020857</f>
        <v>2152935.9300000002</v>
      </c>
      <c r="O27" s="14">
        <f>1562.39+68713.63+45499.14+10555.33+1540.12+1667.03+1123.95+2020857</f>
        <v>2151518.59</v>
      </c>
      <c r="P27" s="14">
        <f>310+68713.63+45499.14+975.33+862.86+1667.03+1155.52+55758.46+2020857</f>
        <v>2195798.9700000002</v>
      </c>
      <c r="Q27" s="14">
        <f>405+68713.63+45499.18+1273.92+33543.75+1216.46+55759.35+2020857.11</f>
        <v>2227268.4</v>
      </c>
      <c r="R27" s="20">
        <f>500+68713.63+45499.25+449.84+288.05+1667.03+1047.63+55761.21+2020857.11</f>
        <v>2194783.75</v>
      </c>
      <c r="S27" s="14">
        <f>20016+68713.63+45499.29+748.33+576.19+1667.03+1100.9+55762.15+2020857.11</f>
        <v>2214940.63</v>
      </c>
      <c r="T27" s="14">
        <f>690+68713.63+45499.33+973.26+85350.5+594.67+55763.06+2020857.11</f>
        <v>2278441.56</v>
      </c>
      <c r="U27" s="14">
        <f>156858.68+68713.63+45499.37+1124.61+1667.03+1172.6+55764.01+2020857.11</f>
        <v>2351657.04</v>
      </c>
      <c r="V27" s="14">
        <f>145+68713.63+45499.41+13197.97+130571.33+1084.1+55764.95+2020857.11</f>
        <v>2335833.5</v>
      </c>
      <c r="W27" s="14">
        <f>49914.35+68713.63+45499.44+13271.75+130571.33+1084.1+55765.87+2020857.11</f>
        <v>2385677.58</v>
      </c>
      <c r="X27" s="14">
        <f>145+68713.63+45499.48+12672.78+29396.48+4289.37+55766.81+2020857.11</f>
        <v>2237340.66</v>
      </c>
      <c r="Y27" s="14">
        <f>284.54+68713.63+45499.52+12897.9+1667.03+1073.15+55767.73+2020857.11</f>
        <v>2206760.6100000003</v>
      </c>
      <c r="Z27" s="14">
        <f>93485.95+68713.63+45499.56+13049.46+1667.03+1364.21+55768.67+2020857.11</f>
        <v>2300405.62</v>
      </c>
      <c r="AA27" s="20">
        <f>13348.16+68713.63+284.54+45499.6+1667.03+1130.27+55769.62+2020857.11</f>
        <v>2207269.96</v>
      </c>
      <c r="AB27" s="20">
        <f>1095.17+1667.03+5842.63+68713.63+49162.75+45499.63+2020857.11+55770.47</f>
        <v>2248608.4200000004</v>
      </c>
      <c r="AC27" s="20">
        <f>1141.91+1667.03+20463.34+68713.63+45499.67+6141.21+4750+879.9+55771.42+2020857.11</f>
        <v>2225885.2200000002</v>
      </c>
      <c r="AD27" s="20">
        <f>6366.22+68713.63+36812.75+45499.71+5903.65+2020857.11+55772.34+70</f>
        <v>2239995.41</v>
      </c>
      <c r="AE27" s="14">
        <f>10713.98+68713.63+45499.75+1339.96+1199.26+55773.29+70+2020857.11</f>
        <v>2204166.98</v>
      </c>
      <c r="AF27" s="20">
        <f>328.14+1667.03+68713.63+45499.78+1642.66+1262.7+531.46+55774.2+70+2020857.11</f>
        <v>2196346.71</v>
      </c>
      <c r="AG27" s="20">
        <f>1642.69+68713.63+3902.52+45499.82+1667.03+1124.44+2020857.11+55775.15+70+774.44</f>
        <v>2200026.83</v>
      </c>
      <c r="AH27" s="20">
        <f>1667.03+328.14+68713.63+45499.86+1794.06+1077.29+55776.1+70+2020857.11</f>
        <v>2195783.2200000002</v>
      </c>
      <c r="AI27" s="20">
        <f>40389.45+328.14+68713.63+45499.9+1945.43+1077.29+55777.01+70+2020857.11</f>
        <v>2234657.96</v>
      </c>
      <c r="AJ27" s="20">
        <f>40389.45+328.14+68713.63+45499.94+1945.43+2096.81+1077.29+55777.96+70+2020857.11</f>
        <v>2236755.7600000002</v>
      </c>
      <c r="AK27" s="20">
        <f>1569.08+68713.63+37725.79+45499.97+1193.46+23335.44+2020857.11+55778.88+70</f>
        <v>2254743.36</v>
      </c>
      <c r="AL27" s="20">
        <f>1667.03+144.6+68713.63+45500.01+1720.44+1133.86+55779.83+70+2020857.11</f>
        <v>2195586.5100000002</v>
      </c>
      <c r="AM27" s="20">
        <f>1871.81+68713.63+144.6+45500.05+989.25+11343.02+2020857.11+1322.49+55780.77+70</f>
        <v>2206592.7300000004</v>
      </c>
      <c r="AN27" s="20">
        <f>84336.3+18731.53+68713.63+45500.09+991.23+7572.5+254.04+55781.63+70+2020857.11</f>
        <v>2302808.06</v>
      </c>
      <c r="AO27" s="20">
        <f>81310.1+144.6+68713.63+45500.12+55227.02+7749.95+451.95+55782.58+70+2020857.11</f>
        <v>2335807.06</v>
      </c>
      <c r="AP27" s="20">
        <f>1667.03+68509.96+68713.63+45500.16+55227.92+7957.39+649.92+55783.49+70+2020857.11</f>
        <v>2324936.6100000003</v>
      </c>
      <c r="AQ27" s="20">
        <f>1667.03+144.6+68713.63+45500.2+55228.86+1278.7+847.31+55784.44+70+2020857.11</f>
        <v>2250091.88</v>
      </c>
      <c r="AR27" s="20">
        <f>1667.03+14987.62+68713.63+45500.24+55229.77+1220.41+1089.35+55785.36+70+2020857.11</f>
        <v>2265120.52</v>
      </c>
      <c r="AS27" s="20">
        <f>29888.93+14987.62+68713.63+45500.28+56203.05+1333.68+1557.72+55786.31+70+2020857.11</f>
        <v>2294898.33</v>
      </c>
      <c r="AT27" s="20">
        <f>10845.19+13804.03+68713.63+45501.05+55712.84+10137.45+514.09+55787.25+70+2020857.11</f>
        <v>2281942.64</v>
      </c>
      <c r="AU27" s="20">
        <f>10845.19+13804.03+68713.63+45511.81+56226.13+3336.35+724.78+55800.45+70+2020857.11</f>
        <v>2275889.48</v>
      </c>
      <c r="AV27" s="20">
        <f>10845.19+13804.03+68713.63+45511.81+56726.13+4256.75+1123.1+55800.45+70+2020857.11</f>
        <v>2277708.2000000002</v>
      </c>
      <c r="AW27" s="21">
        <f>10845.19+13804.03+68713.63+45568.89+56797.05+1232.24+1322.84+55870.43+70+2020857.11</f>
        <v>2275081.41</v>
      </c>
      <c r="AX27" s="21">
        <f>56616.98+97201.58+68713.63+45597.93+57333.44+1084.38+1567.84+55906.03+70+2020857.11</f>
        <v>2404948.92</v>
      </c>
      <c r="AY27" s="21">
        <f>56616.98+1519.54+68713.63+45626.98+57369.98+1069.6+1814.47+55941.65+70+2020857.11</f>
        <v>2309599.94</v>
      </c>
      <c r="AZ27" s="21">
        <f>56616.98+16519.54+68713.63+45653.24+57005.43+915.78+1919.49+55973.85+2020857.11</f>
        <v>2324175.0500000003</v>
      </c>
      <c r="BA27" s="21">
        <f>311865.13+16519.54+68713.63+45682.33+57041.75+4968.9+2165.05+56009.51+2020857.11</f>
        <v>2583822.9500000002</v>
      </c>
      <c r="BB27" s="21">
        <f>1667.03+16519.54+68713.63+45710.5+57076.92+4861.94+2465.22+56044.05+2020857.11</f>
        <v>2273915.94</v>
      </c>
      <c r="BC27" s="21">
        <f>1667.03+15116.94+68713.63+45739.62+57113.29+1119.88+2715.68+56079.76+2020857.11</f>
        <v>2269122.94</v>
      </c>
      <c r="BD27" s="21">
        <f>1667.03+15116.94+68713.63+45767.83+57148.51+849.95+3016.29+56114.34+2020637.51</f>
        <v>2269032.0300000003</v>
      </c>
      <c r="BE27" s="21">
        <f>35832.76+29858.01+68713.63+45796.99+57184.92+1079.28+7583.37+56150.09+2027096.19</f>
        <v>2329295.2399999998</v>
      </c>
      <c r="BF27" s="21">
        <f>265525.68+239837.64+68713.63+45826.17+57221.36+6225.93+7837.24+56185.87+2030174.96</f>
        <v>2777548.48</v>
      </c>
      <c r="BG27" s="21">
        <f>1667.03+16260.61+68713.63+45850.66+57252.88+2256.21+8140.68+56216.82+2033110.52</f>
        <v>2289469.04</v>
      </c>
      <c r="BH27" s="21">
        <f>1667.03+16260.61+68713.63+45870.13+57279.63+2755.19+8411.59+56243.09+2035766.37</f>
        <v>2292967.27</v>
      </c>
      <c r="BI27" s="21">
        <f>1667.03+16260.61+68713.63+45881.45+56656.85+8509.69+8406.44+45256.96+2037975.22</f>
        <v>2289327.88</v>
      </c>
      <c r="BJ27" s="21">
        <f>1667.03+16260.61+68713.63+45893.14+56671.28+2066.44+8731.81+56271.29+2040174.75</f>
        <v>2296449.98</v>
      </c>
      <c r="BK27" s="21">
        <f>1667.03+16260.61+68713.63+45904.8+56685.69+1459.84+9151.31+56285.59+857.11</f>
        <v>256985.61</v>
      </c>
      <c r="BL27" s="21">
        <f>1667.03+16260.61+68713.63+45915.71+46359.58+810.14+8326.47+56298.97+2043485.56</f>
        <v>2287837.7000000002</v>
      </c>
      <c r="BM27" s="21">
        <f>26083.23+16260.61+68713.63+45919.3+46363.96+960.38+8526.6+56304.3+857.11+2044509.54</f>
        <v>2314498.66</v>
      </c>
      <c r="BN27" s="21">
        <f>53630.07+16260.61+68713.63+45919.68+46371.94+1108.62+21373.64+56313.99+2045406.42</f>
        <v>2355098.6</v>
      </c>
      <c r="BO27" s="21">
        <f>53630.07+16260.61+68713.63+45920.07+46381.76+8258.86+36798.73+56325.91+2045423.79</f>
        <v>2377713.4300000002</v>
      </c>
      <c r="BP27" s="21">
        <f>1667.03+16260.61+68713.63+45920.44+46391.27+8209.17+36906.27+56337.46+2045440.59</f>
        <v>2325846.4700000002</v>
      </c>
      <c r="BQ27" s="21">
        <f>1667.03+16260.61+68713.63+45920.83+46401.09+1477.17+37114.1+56349.39+2045457.96</f>
        <v>2319361.81</v>
      </c>
      <c r="BR27" s="4" t="s">
        <v>0</v>
      </c>
    </row>
    <row r="28" spans="2:70" x14ac:dyDescent="0.5">
      <c r="B28" s="17" t="s">
        <v>14</v>
      </c>
      <c r="C28" s="18" t="s">
        <v>31</v>
      </c>
      <c r="D28" s="18" t="s">
        <v>16</v>
      </c>
      <c r="E28" s="18" t="s">
        <v>10</v>
      </c>
      <c r="F28" s="19" t="s">
        <v>74</v>
      </c>
      <c r="G28" s="14">
        <v>3287560.21</v>
      </c>
      <c r="H28" s="14">
        <v>3287965.53</v>
      </c>
      <c r="I28" s="14">
        <v>3288384</v>
      </c>
      <c r="J28" s="14">
        <v>3288803</v>
      </c>
      <c r="K28" s="14">
        <v>2288803.34</v>
      </c>
      <c r="L28" s="14">
        <v>3288803.34</v>
      </c>
      <c r="M28" s="14">
        <v>3288803.34</v>
      </c>
      <c r="N28" s="14">
        <v>3288803.34</v>
      </c>
      <c r="O28" s="14">
        <v>3288803.34</v>
      </c>
      <c r="P28" s="14">
        <v>3288803.34</v>
      </c>
      <c r="Q28" s="14">
        <v>3288803.34</v>
      </c>
      <c r="R28" s="20">
        <v>3288803.34</v>
      </c>
      <c r="S28" s="14">
        <v>3289127.86</v>
      </c>
      <c r="T28" s="14">
        <v>3294755.37</v>
      </c>
      <c r="U28" s="14">
        <f>3295431.8</f>
        <v>3295431.8</v>
      </c>
      <c r="V28" s="14">
        <v>3296131.44</v>
      </c>
      <c r="W28" s="14">
        <v>3296831.23</v>
      </c>
      <c r="X28" s="14">
        <v>3296831.23</v>
      </c>
      <c r="Y28" s="14">
        <v>3298208.6</v>
      </c>
      <c r="Z28" s="14">
        <v>3298886.17</v>
      </c>
      <c r="AA28" s="20">
        <f>3299586.55</f>
        <v>3299586.55</v>
      </c>
      <c r="AB28" s="20">
        <v>3300287.07</v>
      </c>
      <c r="AC28" s="20">
        <f>3300919.93</f>
        <v>3300919.93</v>
      </c>
      <c r="AD28" s="20">
        <f>3301340.42</f>
        <v>3301340.42</v>
      </c>
      <c r="AE28" s="14">
        <f>3301747.41</f>
        <v>3301747.41</v>
      </c>
      <c r="AF28" s="20">
        <f>3302168.02</f>
        <v>3302168.02</v>
      </c>
      <c r="AG28" s="20">
        <f>3302168.02</f>
        <v>3302168.02</v>
      </c>
      <c r="AH28" s="20">
        <f>3302575.11</f>
        <v>3302575.11</v>
      </c>
      <c r="AI28" s="20">
        <f>3303417.51</f>
        <v>3303417.51</v>
      </c>
      <c r="AJ28" s="20">
        <f>3303417.51</f>
        <v>3303417.51</v>
      </c>
      <c r="AK28" s="20">
        <f>3304245.58</f>
        <v>3304245.58</v>
      </c>
      <c r="AL28" s="20">
        <f>3304245.58</f>
        <v>3304245.58</v>
      </c>
      <c r="AM28" s="20">
        <f>3305073.85</f>
        <v>3305073.85</v>
      </c>
      <c r="AN28" s="20">
        <f>3305494.85</f>
        <v>3305494.85</v>
      </c>
      <c r="AO28" s="20">
        <f>3305494.85</f>
        <v>3305494.85</v>
      </c>
      <c r="AP28" s="20">
        <f>3305875.18</f>
        <v>3305875.18</v>
      </c>
      <c r="AQ28" s="20">
        <f>3306296.29</f>
        <v>3306296.29</v>
      </c>
      <c r="AR28" s="20">
        <f>3307125.03</f>
        <v>3307125.03</v>
      </c>
      <c r="AS28" s="20">
        <f>3307532.71</f>
        <v>3307532.71</v>
      </c>
      <c r="AT28" s="20">
        <f>3307532.71</f>
        <v>3307532.71</v>
      </c>
      <c r="AU28" s="20">
        <f>3307954.05</f>
        <v>3307954.05</v>
      </c>
      <c r="AV28" s="20">
        <f>3308375.42</f>
        <v>3308375.42</v>
      </c>
      <c r="AW28" s="21">
        <f>3308782.92</f>
        <v>3308782.92</v>
      </c>
      <c r="AX28" s="21">
        <f>3309204.05</f>
        <v>3309204.05</v>
      </c>
      <c r="AY28" s="21">
        <f>3310033.52</f>
        <v>3310033.52</v>
      </c>
      <c r="AZ28" s="21">
        <v>3310455.16</v>
      </c>
      <c r="BA28" s="21">
        <f>3310836.06</f>
        <v>3310836.06</v>
      </c>
      <c r="BB28" s="21">
        <f>3311257.83</f>
        <v>3311257.83</v>
      </c>
      <c r="BC28" s="21">
        <f>3311666.04</f>
        <v>3311666.04</v>
      </c>
      <c r="BD28" s="21">
        <v>3312087.91</v>
      </c>
      <c r="BE28" s="21">
        <v>3312496.22</v>
      </c>
      <c r="BF28" s="21">
        <f>3312918.2</f>
        <v>3312918.2</v>
      </c>
      <c r="BG28" s="21">
        <v>3313340.23</v>
      </c>
      <c r="BH28" s="21">
        <v>3313340.23</v>
      </c>
      <c r="BI28" s="21">
        <v>3313748.7</v>
      </c>
      <c r="BJ28" s="21">
        <v>3314170.81</v>
      </c>
      <c r="BK28" s="21">
        <f>3315001.52</f>
        <v>3315001.52</v>
      </c>
      <c r="BL28" s="21">
        <v>3315423.79</v>
      </c>
      <c r="BM28" s="21">
        <v>3315423.79</v>
      </c>
      <c r="BN28" s="21">
        <f>3316227.65</f>
        <v>3316227.65</v>
      </c>
      <c r="BO28" s="21">
        <f>3316636.45</f>
        <v>3316636.45</v>
      </c>
      <c r="BP28" s="21">
        <f>3317058.95</f>
        <v>3317058.95</v>
      </c>
      <c r="BQ28" s="21">
        <f>3317467.88</f>
        <v>3317467.88</v>
      </c>
    </row>
    <row r="29" spans="2:70" x14ac:dyDescent="0.5">
      <c r="B29" s="17" t="s">
        <v>14</v>
      </c>
      <c r="C29" s="18" t="s">
        <v>32</v>
      </c>
      <c r="D29" s="18" t="s">
        <v>16</v>
      </c>
      <c r="E29" s="18" t="s">
        <v>10</v>
      </c>
      <c r="F29" s="19" t="s">
        <v>75</v>
      </c>
      <c r="G29" s="14">
        <v>2777953.74</v>
      </c>
      <c r="H29" s="14">
        <v>2558285.4900000002</v>
      </c>
      <c r="I29" s="14">
        <v>282025</v>
      </c>
      <c r="J29" s="14">
        <v>553667</v>
      </c>
      <c r="K29" s="14">
        <v>825257.08</v>
      </c>
      <c r="L29" s="14">
        <v>1096847.49</v>
      </c>
      <c r="M29" s="14">
        <v>1368437.9</v>
      </c>
      <c r="N29" s="14">
        <v>802265.81</v>
      </c>
      <c r="O29" s="14">
        <v>1073856.22</v>
      </c>
      <c r="P29" s="14">
        <v>1345446.63</v>
      </c>
      <c r="Q29" s="14">
        <v>1617037.04</v>
      </c>
      <c r="R29" s="20">
        <v>1888659.3</v>
      </c>
      <c r="S29" s="14">
        <v>2160249.71</v>
      </c>
      <c r="T29" s="14">
        <v>2881487.28</v>
      </c>
      <c r="U29" s="14">
        <v>360130.99</v>
      </c>
      <c r="V29" s="14">
        <v>669170.96</v>
      </c>
      <c r="W29" s="14">
        <v>977976.07</v>
      </c>
      <c r="X29" s="14">
        <v>1286671.8999999999</v>
      </c>
      <c r="Y29" s="14">
        <v>1595777.38</v>
      </c>
      <c r="Z29" s="14">
        <v>1107594.3500000001</v>
      </c>
      <c r="AA29" s="20">
        <f>1416577.18</f>
        <v>1416577.18</v>
      </c>
      <c r="AB29" s="20">
        <f>1725540.99</f>
        <v>1725540.99</v>
      </c>
      <c r="AC29" s="20">
        <f>2034538.12</f>
        <v>2034538.12</v>
      </c>
      <c r="AD29" s="20">
        <f>2343473.46</f>
        <v>2343473.46</v>
      </c>
      <c r="AE29" s="14">
        <f>2652439.17</f>
        <v>2652439.17</v>
      </c>
      <c r="AF29" s="20">
        <f>255312.24</f>
        <v>255312.24</v>
      </c>
      <c r="AG29" s="20">
        <f>564008.07</f>
        <v>564008.06999999995</v>
      </c>
      <c r="AH29" s="20">
        <f>872883.14</f>
        <v>872883.14</v>
      </c>
      <c r="AI29" s="20">
        <f>1181722.69</f>
        <v>1181722.69</v>
      </c>
      <c r="AJ29" s="20">
        <f>1490418.52</f>
        <v>1490418.52</v>
      </c>
      <c r="AK29" s="20">
        <f>1799411.21</f>
        <v>1799411.21</v>
      </c>
      <c r="AL29" s="20">
        <f>1353641.72</f>
        <v>1353641.72</v>
      </c>
      <c r="AM29" s="20">
        <f>1662741.2</f>
        <v>1662741.2</v>
      </c>
      <c r="AN29" s="20">
        <f>1971629.17</f>
        <v>1971629.17</v>
      </c>
      <c r="AO29" s="20">
        <f>2280325</f>
        <v>2280325</v>
      </c>
      <c r="AP29" s="20">
        <f>2589229.93</f>
        <v>2589229.9300000002</v>
      </c>
      <c r="AQ29" s="20">
        <f>2898196.6</f>
        <v>2898196.6</v>
      </c>
      <c r="AR29" s="20">
        <f>2957542.15</f>
        <v>2957542.15</v>
      </c>
      <c r="AS29" s="20">
        <f>317032.36</f>
        <v>317032.36</v>
      </c>
      <c r="AT29" s="20">
        <f>625728.19</f>
        <v>625728.18999999994</v>
      </c>
      <c r="AU29" s="20">
        <f>934632.61</f>
        <v>934632.61</v>
      </c>
      <c r="AV29" s="20">
        <f>1243388.49</f>
        <v>1243388.49</v>
      </c>
      <c r="AW29" s="21">
        <f>1552180.51</f>
        <v>1552180.51</v>
      </c>
      <c r="AX29" s="21">
        <f>1150615.08</f>
        <v>1150615.08</v>
      </c>
      <c r="AY29" s="21">
        <f>1459655.4</f>
        <v>1459655.4</v>
      </c>
      <c r="AZ29" s="21">
        <v>1630463.05</v>
      </c>
      <c r="BA29" s="21">
        <f>1963715.84</f>
        <v>1963715.84</v>
      </c>
      <c r="BB29" s="21">
        <f>2492479.27</f>
        <v>2492479.27</v>
      </c>
      <c r="BC29" s="21">
        <f>2727942.97</f>
        <v>2727942.97</v>
      </c>
      <c r="BD29" s="21">
        <v>2963464.51</v>
      </c>
      <c r="BE29" s="21">
        <f>243604.35</f>
        <v>243604.35</v>
      </c>
      <c r="BF29" s="21">
        <v>478997.64</v>
      </c>
      <c r="BG29" s="21">
        <v>924551.73</v>
      </c>
      <c r="BH29" s="21">
        <v>1159740.73</v>
      </c>
      <c r="BI29" s="21">
        <v>1535228.93</v>
      </c>
      <c r="BJ29" s="21">
        <v>1840657.04</v>
      </c>
      <c r="BK29" s="21">
        <f>1492058.55</f>
        <v>1492058.55</v>
      </c>
      <c r="BL29" s="21">
        <v>1797566.18</v>
      </c>
      <c r="BM29" s="21">
        <f>2102861.52</f>
        <v>2102861.52</v>
      </c>
      <c r="BN29" s="21">
        <f>2408594.58</f>
        <v>2408594.58</v>
      </c>
      <c r="BO29" s="21">
        <f>2644061.68</f>
        <v>2644061.6800000002</v>
      </c>
      <c r="BP29" s="21">
        <v>3019785.21</v>
      </c>
      <c r="BQ29" s="21">
        <f>246048.35</f>
        <v>246048.35</v>
      </c>
    </row>
    <row r="30" spans="2:70" x14ac:dyDescent="0.5">
      <c r="B30" s="17">
        <v>400</v>
      </c>
      <c r="C30" s="18" t="s">
        <v>95</v>
      </c>
      <c r="D30" s="18" t="s">
        <v>16</v>
      </c>
      <c r="E30" s="18" t="s">
        <v>10</v>
      </c>
      <c r="F30" s="19" t="s">
        <v>97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>
        <v>58274.75</v>
      </c>
      <c r="R30" s="20">
        <v>72680.95</v>
      </c>
      <c r="S30" s="14">
        <v>356181.27</v>
      </c>
      <c r="T30" s="14">
        <v>38107.49</v>
      </c>
      <c r="U30" s="14">
        <v>86751.3</v>
      </c>
      <c r="V30" s="14">
        <v>98666.46</v>
      </c>
      <c r="W30" s="14">
        <v>134685.76999999999</v>
      </c>
      <c r="X30" s="14">
        <v>175189.32</v>
      </c>
      <c r="Y30" s="14">
        <v>183382.1</v>
      </c>
      <c r="Z30" s="14">
        <v>28306.25</v>
      </c>
      <c r="AA30" s="20">
        <f>14453.84</f>
        <v>14453.84</v>
      </c>
      <c r="AB30" s="20">
        <f>21750.38</f>
        <v>21750.38</v>
      </c>
      <c r="AC30" s="20">
        <f>34641.96</f>
        <v>34641.96</v>
      </c>
      <c r="AD30" s="20">
        <f>49982.85</f>
        <v>49982.85</v>
      </c>
      <c r="AE30" s="14">
        <f>316118.03</f>
        <v>316118.03000000003</v>
      </c>
      <c r="AF30" s="20">
        <f>35491.54</f>
        <v>35491.54</v>
      </c>
      <c r="AG30" s="20">
        <f>85501.47</f>
        <v>85501.47</v>
      </c>
      <c r="AH30" s="20">
        <f>14504.69</f>
        <v>14504.69</v>
      </c>
      <c r="AI30" s="20">
        <f>45640.49</f>
        <v>45640.49</v>
      </c>
      <c r="AJ30" s="20">
        <f>102977.79</f>
        <v>102977.79</v>
      </c>
      <c r="AK30" s="20">
        <f>103349.36</f>
        <v>103349.36</v>
      </c>
      <c r="AL30" s="20">
        <f>189257.64</f>
        <v>189257.64</v>
      </c>
      <c r="AM30" s="20">
        <f>51060.99</f>
        <v>51060.99</v>
      </c>
      <c r="AN30" s="20">
        <f>26477.14</f>
        <v>26477.14</v>
      </c>
      <c r="AO30" s="20">
        <f>66287.83</f>
        <v>66287.83</v>
      </c>
      <c r="AP30" s="20">
        <f>90938.38</f>
        <v>90938.38</v>
      </c>
      <c r="AQ30" s="20">
        <f>38060.21</f>
        <v>38060.21</v>
      </c>
      <c r="AR30" s="20">
        <f>8522.51</f>
        <v>8522.51</v>
      </c>
      <c r="AS30" s="20">
        <f>16722.95</f>
        <v>16722.95</v>
      </c>
      <c r="AT30" s="20">
        <f>82065.04</f>
        <v>82065.039999999994</v>
      </c>
      <c r="AU30" s="20">
        <f>16724.87</f>
        <v>16724.87</v>
      </c>
      <c r="AV30" s="20">
        <f>58268.58</f>
        <v>58268.58</v>
      </c>
      <c r="AW30" s="21">
        <f>83290.3</f>
        <v>83290.3</v>
      </c>
      <c r="AX30" s="21">
        <f>9216.41</f>
        <v>9216.41</v>
      </c>
      <c r="AY30" s="21">
        <f>34503.21</f>
        <v>34503.21</v>
      </c>
      <c r="AZ30" s="21">
        <f>11285.58</f>
        <v>11285.58</v>
      </c>
      <c r="BA30" s="21">
        <f>16430.8</f>
        <v>16430.8</v>
      </c>
      <c r="BB30" s="21">
        <f>86172.13</f>
        <v>86172.13</v>
      </c>
      <c r="BC30" s="21">
        <f>14027.67</f>
        <v>14027.67</v>
      </c>
      <c r="BD30" s="21">
        <v>4565.25</v>
      </c>
      <c r="BE30" s="21">
        <f>49884.96</f>
        <v>49884.959999999999</v>
      </c>
      <c r="BF30" s="21">
        <v>836232.59</v>
      </c>
      <c r="BG30" s="21">
        <v>7461.81</v>
      </c>
      <c r="BH30" s="21">
        <v>8838.09</v>
      </c>
      <c r="BI30" s="21">
        <v>9793.7000000000007</v>
      </c>
      <c r="BJ30" s="21">
        <v>34604.769999999997</v>
      </c>
      <c r="BK30" s="21">
        <f>10014.18</f>
        <v>10014.18</v>
      </c>
      <c r="BL30" s="21">
        <v>144538.37</v>
      </c>
      <c r="BM30" s="21">
        <f>13404.71</f>
        <v>13404.71</v>
      </c>
      <c r="BN30" s="21">
        <f>60073.54</f>
        <v>60073.54</v>
      </c>
      <c r="BO30" s="21">
        <v>156406.26</v>
      </c>
      <c r="BP30" s="21">
        <v>8652.3799999999992</v>
      </c>
      <c r="BQ30" s="21">
        <f>64171.84</f>
        <v>64171.839999999997</v>
      </c>
    </row>
    <row r="31" spans="2:70" x14ac:dyDescent="0.5">
      <c r="B31" s="17">
        <v>400</v>
      </c>
      <c r="C31" s="18" t="s">
        <v>33</v>
      </c>
      <c r="D31" s="18" t="s">
        <v>16</v>
      </c>
      <c r="E31" s="18" t="s">
        <v>10</v>
      </c>
      <c r="F31" s="19" t="s">
        <v>120</v>
      </c>
      <c r="G31" s="14">
        <v>2373777.4</v>
      </c>
      <c r="H31" s="14">
        <v>1955128.96</v>
      </c>
      <c r="I31" s="14">
        <v>2122746</v>
      </c>
      <c r="J31" s="14">
        <v>2262459</v>
      </c>
      <c r="K31" s="14">
        <v>2059232.49</v>
      </c>
      <c r="L31" s="14">
        <v>2180174.7599999998</v>
      </c>
      <c r="M31" s="14">
        <f>2240953.9+246139.6</f>
        <v>2487093.5</v>
      </c>
      <c r="N31" s="14">
        <f>2240953.9+246139.6</f>
        <v>2487093.5</v>
      </c>
      <c r="O31" s="14">
        <f>2296101.39+332518.18</f>
        <v>2628619.5700000003</v>
      </c>
      <c r="P31" s="14">
        <f>2386457.11+366401.6</f>
        <v>2752858.71</v>
      </c>
      <c r="Q31" s="14">
        <f>285740.4+2479848.8</f>
        <v>2765589.1999999997</v>
      </c>
      <c r="R31" s="20">
        <f>2543810.17+421718.06</f>
        <v>2965528.23</v>
      </c>
      <c r="S31" s="14">
        <f>2544506.94+661655.39</f>
        <v>3206162.33</v>
      </c>
      <c r="T31" s="14">
        <f>2545756.97+139320.36</f>
        <v>2685077.33</v>
      </c>
      <c r="U31" s="14">
        <f>279652.86+2546364.44</f>
        <v>2826017.3</v>
      </c>
      <c r="V31" s="14">
        <f>1846943.55+657470.85</f>
        <v>2504414.4</v>
      </c>
      <c r="W31" s="14">
        <f>2547446.55+548298.95</f>
        <v>3095745.5</v>
      </c>
      <c r="X31" s="14">
        <f>2547831.11+301241.78</f>
        <v>2849072.8899999997</v>
      </c>
      <c r="Y31" s="14">
        <f>363427.55+2548683.38</f>
        <v>2912110.9299999997</v>
      </c>
      <c r="Z31" s="14">
        <f>2138006.76+395703.61</f>
        <v>2533710.3699999996</v>
      </c>
      <c r="AA31" s="20">
        <f>832805+2138564.3</f>
        <v>2971369.3</v>
      </c>
      <c r="AB31" s="20">
        <f>937136.17+2139073.15</f>
        <v>3076209.32</v>
      </c>
      <c r="AC31" s="20">
        <f>2989301.3+412.36</f>
        <v>2989713.6599999997</v>
      </c>
      <c r="AD31" s="20">
        <f>451.59+3036202.81</f>
        <v>3036654.4</v>
      </c>
      <c r="AE31" s="14">
        <f>757.88+3325361.9</f>
        <v>3326119.78</v>
      </c>
      <c r="AF31" s="20">
        <f>1112.82+3227661.32</f>
        <v>3228774.1399999997</v>
      </c>
      <c r="AG31" s="20">
        <f>1703.44+3362285.63</f>
        <v>3363989.07</v>
      </c>
      <c r="AH31" s="20">
        <f>179.61+3020416.86</f>
        <v>3020596.4699999997</v>
      </c>
      <c r="AI31" s="20">
        <f>3128926.28</f>
        <v>3128926.28</v>
      </c>
      <c r="AJ31" s="20">
        <f>3422712.43</f>
        <v>3422712.43</v>
      </c>
      <c r="AK31" s="20">
        <f>3355618.81</f>
        <v>3355618.81</v>
      </c>
      <c r="AL31" s="20">
        <f>3493374.61</f>
        <v>3493374.61</v>
      </c>
      <c r="AM31" s="20">
        <f>3626085.03</f>
        <v>3626085.03</v>
      </c>
      <c r="AN31" s="20">
        <f>3913196.48</f>
        <v>3913196.48</v>
      </c>
      <c r="AO31" s="20">
        <f>3816026.95</f>
        <v>3816026.95</v>
      </c>
      <c r="AP31" s="20">
        <f>4193251.21</f>
        <v>4193251.21</v>
      </c>
      <c r="AQ31" s="20">
        <f>4371981.68</f>
        <v>4371981.68</v>
      </c>
      <c r="AR31" s="20">
        <f>3845560.35</f>
        <v>3845560.35</v>
      </c>
      <c r="AS31" s="20">
        <f>4591647.27</f>
        <v>4591647.2699999996</v>
      </c>
      <c r="AT31" s="20">
        <f>4245582.5</f>
        <v>4245582.5</v>
      </c>
      <c r="AU31" s="20">
        <f>4510892.86</f>
        <v>4510892.8600000003</v>
      </c>
      <c r="AV31" s="20">
        <f>4521489.55</f>
        <v>4521489.55</v>
      </c>
      <c r="AW31" s="21">
        <f>4662895.39</f>
        <v>4662895.3899999997</v>
      </c>
      <c r="AX31" s="21">
        <f>4798082.9</f>
        <v>4798082.9000000004</v>
      </c>
      <c r="AY31" s="21">
        <f>4921239.77</f>
        <v>4921239.7699999996</v>
      </c>
      <c r="AZ31" s="21">
        <f>5125815.85</f>
        <v>5125815.8499999996</v>
      </c>
      <c r="BA31" s="21">
        <f>5359073.13</f>
        <v>5359073.13</v>
      </c>
      <c r="BB31" s="21">
        <f>5623731.63</f>
        <v>5623731.6299999999</v>
      </c>
      <c r="BC31" s="21">
        <f>5625816.52</f>
        <v>5625816.5199999996</v>
      </c>
      <c r="BD31" s="21">
        <v>5866930.9500000002</v>
      </c>
      <c r="BE31" s="21">
        <f>6368146.57</f>
        <v>6368146.5700000003</v>
      </c>
      <c r="BF31" s="21">
        <v>6370036.0499999998</v>
      </c>
      <c r="BG31" s="21">
        <v>6404550.5899999999</v>
      </c>
      <c r="BH31" s="21">
        <v>6668510.9500000002</v>
      </c>
      <c r="BI31" s="21">
        <v>6781864.1200000001</v>
      </c>
      <c r="BJ31" s="21">
        <v>6934542.1500000004</v>
      </c>
      <c r="BK31" s="21">
        <f>7062012.03</f>
        <v>7062012.0300000003</v>
      </c>
      <c r="BL31" s="21">
        <v>7175296.3499999996</v>
      </c>
      <c r="BM31" s="21">
        <f>7349296.35</f>
        <v>7349296.3499999996</v>
      </c>
      <c r="BN31" s="21">
        <f>7487527.15</f>
        <v>7487527.1500000004</v>
      </c>
      <c r="BO31" s="21">
        <f>7576465.08</f>
        <v>7576465.0800000001</v>
      </c>
      <c r="BP31" s="21">
        <v>7314891.9400000004</v>
      </c>
      <c r="BQ31" s="21">
        <f>7333044.23</f>
        <v>7333044.2300000004</v>
      </c>
    </row>
    <row r="32" spans="2:70" x14ac:dyDescent="0.5">
      <c r="B32" s="17" t="s">
        <v>14</v>
      </c>
      <c r="C32" s="18" t="s">
        <v>34</v>
      </c>
      <c r="D32" s="18" t="s">
        <v>16</v>
      </c>
      <c r="E32" s="18" t="s">
        <v>10</v>
      </c>
      <c r="F32" s="19" t="s">
        <v>76</v>
      </c>
      <c r="G32" s="14">
        <v>486716.03</v>
      </c>
      <c r="H32" s="14">
        <v>486776.04</v>
      </c>
      <c r="I32" s="14">
        <v>486776</v>
      </c>
      <c r="J32" s="14">
        <v>486776</v>
      </c>
      <c r="K32" s="14">
        <v>486900.07</v>
      </c>
      <c r="L32" s="14">
        <v>486900.07</v>
      </c>
      <c r="M32" s="14">
        <v>486900.07</v>
      </c>
      <c r="N32" s="14">
        <v>486900.07</v>
      </c>
      <c r="O32" s="14">
        <v>486900.07</v>
      </c>
      <c r="P32" s="14">
        <v>486900.07</v>
      </c>
      <c r="Q32" s="14">
        <v>486900.07</v>
      </c>
      <c r="R32" s="20">
        <v>486928.08</v>
      </c>
      <c r="S32" s="14">
        <v>486928.08</v>
      </c>
      <c r="T32" s="14">
        <v>487792.17</v>
      </c>
      <c r="U32" s="14">
        <v>487892.31</v>
      </c>
      <c r="V32" s="14">
        <v>487995.89</v>
      </c>
      <c r="W32" s="14">
        <v>488099.49</v>
      </c>
      <c r="X32" s="14">
        <v>488099.49</v>
      </c>
      <c r="Y32" s="14">
        <v>488303.41</v>
      </c>
      <c r="Z32" s="14">
        <v>488403.73</v>
      </c>
      <c r="AA32" s="20">
        <f>488507.42</f>
        <v>488507.42</v>
      </c>
      <c r="AB32" s="20">
        <f>488611.13</f>
        <v>488611.13</v>
      </c>
      <c r="AC32" s="20">
        <f>488704.83</f>
        <v>488704.83</v>
      </c>
      <c r="AD32" s="20">
        <f>488767.08</f>
        <v>488767.08</v>
      </c>
      <c r="AE32" s="14">
        <f>488827.34</f>
        <v>488827.34</v>
      </c>
      <c r="AF32" s="20">
        <f>488889.61</f>
        <v>488889.61</v>
      </c>
      <c r="AG32" s="20">
        <f>488889.61</f>
        <v>488889.61</v>
      </c>
      <c r="AH32" s="20">
        <f>488949.88</f>
        <v>488949.88</v>
      </c>
      <c r="AI32" s="20">
        <f>489074.45</f>
        <v>489074.45</v>
      </c>
      <c r="AJ32" s="20">
        <f>489074.45</f>
        <v>489074.45</v>
      </c>
      <c r="AK32" s="20">
        <f>489197.05</f>
        <v>489197.05</v>
      </c>
      <c r="AL32" s="20">
        <f>489197.05</f>
        <v>489197.05</v>
      </c>
      <c r="AM32" s="20">
        <f>489319.67</f>
        <v>489319.67</v>
      </c>
      <c r="AN32" s="20">
        <f>489382</f>
        <v>489382</v>
      </c>
      <c r="AO32" s="20">
        <f>489382</f>
        <v>489382</v>
      </c>
      <c r="AP32" s="20">
        <f>489438.31</f>
        <v>489438.31</v>
      </c>
      <c r="AQ32" s="20">
        <f>489500.66</f>
        <v>489500.66</v>
      </c>
      <c r="AR32" s="20">
        <f>489623.36</f>
        <v>489623.36</v>
      </c>
      <c r="AS32" s="20">
        <f>489683.72</f>
        <v>489683.72</v>
      </c>
      <c r="AT32" s="20">
        <f>489683.72</f>
        <v>489683.72</v>
      </c>
      <c r="AU32" s="20">
        <f>489746.1</f>
        <v>489746.1</v>
      </c>
      <c r="AV32" s="20">
        <f>489808.48</f>
        <v>489808.48</v>
      </c>
      <c r="AW32" s="21">
        <f>489868.86</f>
        <v>489868.86</v>
      </c>
      <c r="AX32" s="21">
        <f>489931.26</f>
        <v>489931.26</v>
      </c>
      <c r="AY32" s="21">
        <f>490054.06</f>
        <v>490054.06</v>
      </c>
      <c r="AZ32" s="21">
        <f>490116.48</f>
        <v>490116.48</v>
      </c>
      <c r="BA32" s="21">
        <f>490172.87</f>
        <v>490172.87</v>
      </c>
      <c r="BB32" s="21">
        <f>490235.31</f>
        <v>490235.31</v>
      </c>
      <c r="BC32" s="21">
        <f>490295.75</f>
        <v>490295.75</v>
      </c>
      <c r="BD32" s="21">
        <v>490358.21</v>
      </c>
      <c r="BE32" s="21">
        <f>490418.66</f>
        <v>490418.66</v>
      </c>
      <c r="BF32" s="21">
        <v>490481.13</v>
      </c>
      <c r="BG32" s="21">
        <v>490543.61</v>
      </c>
      <c r="BH32" s="21">
        <v>490543.61</v>
      </c>
      <c r="BI32" s="21">
        <v>490604.08</v>
      </c>
      <c r="BJ32" s="21">
        <v>490666.57</v>
      </c>
      <c r="BK32" s="21">
        <f>490789.56</f>
        <v>490789.56</v>
      </c>
      <c r="BL32" s="21">
        <v>490852.08</v>
      </c>
      <c r="BM32" s="21">
        <v>490852.08</v>
      </c>
      <c r="BN32" s="21">
        <f>490971.09</f>
        <v>490971.09</v>
      </c>
      <c r="BO32" s="21">
        <v>491031.61</v>
      </c>
      <c r="BP32" s="21">
        <v>491094.16</v>
      </c>
      <c r="BQ32" s="21">
        <f>491154.7</f>
        <v>491154.7</v>
      </c>
    </row>
    <row r="33" spans="2:70" x14ac:dyDescent="0.5">
      <c r="B33" s="17">
        <v>400</v>
      </c>
      <c r="C33" s="18" t="s">
        <v>35</v>
      </c>
      <c r="D33" s="18" t="s">
        <v>16</v>
      </c>
      <c r="E33" s="18" t="s">
        <v>10</v>
      </c>
      <c r="F33" s="19" t="s">
        <v>77</v>
      </c>
      <c r="G33" s="14">
        <v>2192716.5499999998</v>
      </c>
      <c r="H33" s="14">
        <v>84949.54</v>
      </c>
      <c r="I33" s="14">
        <v>2358438</v>
      </c>
      <c r="J33" s="14">
        <v>2542818</v>
      </c>
      <c r="K33" s="14">
        <v>2644378.09</v>
      </c>
      <c r="L33" s="14">
        <v>2779886.09</v>
      </c>
      <c r="M33" s="14">
        <v>2859098.09</v>
      </c>
      <c r="N33" s="14">
        <v>2934030.09</v>
      </c>
      <c r="O33" s="14">
        <v>3112206.09</v>
      </c>
      <c r="P33" s="14">
        <v>3153786.09</v>
      </c>
      <c r="Q33" s="14">
        <v>3204194.09</v>
      </c>
      <c r="R33" s="20">
        <v>3016501.08</v>
      </c>
      <c r="S33" s="14">
        <v>3090833.08</v>
      </c>
      <c r="T33" s="14">
        <v>3037872.07</v>
      </c>
      <c r="U33" s="14">
        <v>3162645.73</v>
      </c>
      <c r="V33" s="14">
        <v>3309413</v>
      </c>
      <c r="W33" s="14">
        <v>3407155.1</v>
      </c>
      <c r="X33" s="14">
        <v>3484255.1</v>
      </c>
      <c r="Y33" s="14">
        <v>3639338.94</v>
      </c>
      <c r="Z33" s="14">
        <v>3719874.82</v>
      </c>
      <c r="AA33" s="20">
        <f>3867148.11</f>
        <v>3867148.11</v>
      </c>
      <c r="AB33" s="20">
        <f>3949041.58</f>
        <v>3949041.58</v>
      </c>
      <c r="AC33" s="20">
        <f>4018103.08</f>
        <v>4018103.08</v>
      </c>
      <c r="AD33" s="20">
        <f>4097146.58</f>
        <v>4097146.58</v>
      </c>
      <c r="AE33" s="14">
        <f>4171730.84</f>
        <v>4171730.84</v>
      </c>
      <c r="AF33" s="20">
        <f>2936373.79</f>
        <v>2936373.79</v>
      </c>
      <c r="AG33" s="20">
        <f>3056141.79</f>
        <v>3056141.79</v>
      </c>
      <c r="AH33" s="20">
        <f>3196759.96</f>
        <v>3196759.96</v>
      </c>
      <c r="AI33" s="20">
        <f>3352915.98</f>
        <v>3352915.98</v>
      </c>
      <c r="AJ33" s="20">
        <f>3481787.98</f>
        <v>3481787.98</v>
      </c>
      <c r="AK33" s="20">
        <f>3637351.09</f>
        <v>3637351.09</v>
      </c>
      <c r="AL33" s="20">
        <f>3717433.35</f>
        <v>3717433.35</v>
      </c>
      <c r="AM33" s="20">
        <f>3794218.43</f>
        <v>3794218.43</v>
      </c>
      <c r="AN33" s="20">
        <f>3869274.56</f>
        <v>3869274.56</v>
      </c>
      <c r="AO33" s="20">
        <f>3314286.28</f>
        <v>3314286.28</v>
      </c>
      <c r="AP33" s="20">
        <f>3400647.19</f>
        <v>3400647.19</v>
      </c>
      <c r="AQ33" s="20">
        <f>3383678.11</f>
        <v>3383678.11</v>
      </c>
      <c r="AR33" s="20">
        <f>3441396.86</f>
        <v>3441396.86</v>
      </c>
      <c r="AS33" s="20">
        <f>3584101.58</f>
        <v>3584101.58</v>
      </c>
      <c r="AT33" s="20">
        <f>3681925.58</f>
        <v>3681925.58</v>
      </c>
      <c r="AU33" s="20">
        <f>3931089.09</f>
        <v>3931089.09</v>
      </c>
      <c r="AV33" s="20">
        <f>3714312.65</f>
        <v>3714312.65</v>
      </c>
      <c r="AW33" s="21">
        <f>3899265.95</f>
        <v>3899265.95</v>
      </c>
      <c r="AX33" s="21">
        <f>3890014.95</f>
        <v>3890014.95</v>
      </c>
      <c r="AY33" s="21">
        <f>3884499.45</f>
        <v>3884499.45</v>
      </c>
      <c r="AZ33" s="21">
        <f>3898031.68</f>
        <v>3898031.68</v>
      </c>
      <c r="BA33" s="21">
        <f>3767925.16</f>
        <v>3767925.16</v>
      </c>
      <c r="BB33" s="21">
        <f>3813434.47</f>
        <v>3813434.47</v>
      </c>
      <c r="BC33" s="21">
        <f>3848870.81</f>
        <v>3848870.81</v>
      </c>
      <c r="BD33" s="21">
        <v>3897835.89</v>
      </c>
      <c r="BE33" s="21">
        <f>4069945.43</f>
        <v>4069945.43</v>
      </c>
      <c r="BF33" s="21">
        <v>4256800.97</v>
      </c>
      <c r="BG33" s="21">
        <v>4286651.87</v>
      </c>
      <c r="BH33" s="21">
        <v>4231462.59</v>
      </c>
      <c r="BI33" s="21">
        <v>4366842.24</v>
      </c>
      <c r="BJ33" s="21">
        <v>2987684.19</v>
      </c>
      <c r="BK33" s="21">
        <f>3008716.97</f>
        <v>3008716.97</v>
      </c>
      <c r="BL33" s="21">
        <v>1994323.73</v>
      </c>
      <c r="BM33" s="21">
        <f>1653990.82</f>
        <v>1653990.82</v>
      </c>
      <c r="BN33" s="21">
        <f>1549629.15</f>
        <v>1549629.15</v>
      </c>
      <c r="BO33" s="21">
        <f>1502699.63</f>
        <v>1502699.63</v>
      </c>
      <c r="BP33" s="21">
        <v>1402200.01</v>
      </c>
      <c r="BQ33" s="21">
        <v>1242200.9099999999</v>
      </c>
    </row>
    <row r="34" spans="2:70" x14ac:dyDescent="0.5">
      <c r="B34" s="17">
        <v>400</v>
      </c>
      <c r="C34" s="18"/>
      <c r="D34" s="18" t="s">
        <v>16</v>
      </c>
      <c r="E34" s="18" t="s">
        <v>10</v>
      </c>
      <c r="F34" s="19" t="s">
        <v>101</v>
      </c>
      <c r="G34" s="14">
        <v>65219</v>
      </c>
      <c r="H34" s="14">
        <v>1219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20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455762.37</v>
      </c>
      <c r="Z34" s="14">
        <v>0</v>
      </c>
      <c r="AA34" s="20">
        <f t="shared" ref="AA34:AF34" si="63">48.39</f>
        <v>48.39</v>
      </c>
      <c r="AB34" s="20">
        <f t="shared" si="63"/>
        <v>48.39</v>
      </c>
      <c r="AC34" s="20">
        <f t="shared" si="63"/>
        <v>48.39</v>
      </c>
      <c r="AD34" s="20">
        <f t="shared" si="63"/>
        <v>48.39</v>
      </c>
      <c r="AE34" s="14">
        <f t="shared" si="63"/>
        <v>48.39</v>
      </c>
      <c r="AF34" s="20">
        <f t="shared" si="63"/>
        <v>48.39</v>
      </c>
      <c r="AG34" s="20">
        <f>48.39</f>
        <v>48.39</v>
      </c>
      <c r="AH34" s="20">
        <f>48.39</f>
        <v>48.39</v>
      </c>
      <c r="AI34" s="20">
        <f t="shared" ref="AI34:AT34" si="64">48.19</f>
        <v>48.19</v>
      </c>
      <c r="AJ34" s="20">
        <f t="shared" si="64"/>
        <v>48.19</v>
      </c>
      <c r="AK34" s="20">
        <f t="shared" si="64"/>
        <v>48.19</v>
      </c>
      <c r="AL34" s="20">
        <f t="shared" si="64"/>
        <v>48.19</v>
      </c>
      <c r="AM34" s="20">
        <f t="shared" si="64"/>
        <v>48.19</v>
      </c>
      <c r="AN34" s="20">
        <f t="shared" si="64"/>
        <v>48.19</v>
      </c>
      <c r="AO34" s="20">
        <f t="shared" si="64"/>
        <v>48.19</v>
      </c>
      <c r="AP34" s="20">
        <f t="shared" si="64"/>
        <v>48.19</v>
      </c>
      <c r="AQ34" s="20">
        <f t="shared" si="64"/>
        <v>48.19</v>
      </c>
      <c r="AR34" s="20">
        <f t="shared" si="64"/>
        <v>48.19</v>
      </c>
      <c r="AS34" s="20">
        <f t="shared" si="64"/>
        <v>48.19</v>
      </c>
      <c r="AT34" s="20">
        <f t="shared" si="64"/>
        <v>48.19</v>
      </c>
      <c r="AU34" s="20">
        <f>1843921.98</f>
        <v>1843921.98</v>
      </c>
      <c r="AV34" s="20">
        <f>48.19</f>
        <v>48.19</v>
      </c>
      <c r="AW34" s="21">
        <f>161.86</f>
        <v>161.86000000000001</v>
      </c>
      <c r="AX34" s="21">
        <f t="shared" ref="AX34:BQ34" si="65">279.32</f>
        <v>279.32</v>
      </c>
      <c r="AY34" s="21">
        <f t="shared" si="65"/>
        <v>279.32</v>
      </c>
      <c r="AZ34" s="21">
        <f t="shared" si="65"/>
        <v>279.32</v>
      </c>
      <c r="BA34" s="21">
        <f t="shared" si="65"/>
        <v>279.32</v>
      </c>
      <c r="BB34" s="21">
        <f t="shared" si="65"/>
        <v>279.32</v>
      </c>
      <c r="BC34" s="21">
        <f t="shared" si="65"/>
        <v>279.32</v>
      </c>
      <c r="BD34" s="21">
        <f t="shared" si="65"/>
        <v>279.32</v>
      </c>
      <c r="BE34" s="21">
        <f t="shared" si="65"/>
        <v>279.32</v>
      </c>
      <c r="BF34" s="21">
        <f t="shared" si="65"/>
        <v>279.32</v>
      </c>
      <c r="BG34" s="21">
        <f t="shared" si="65"/>
        <v>279.32</v>
      </c>
      <c r="BH34" s="21">
        <f t="shared" si="65"/>
        <v>279.32</v>
      </c>
      <c r="BI34" s="21">
        <f t="shared" si="65"/>
        <v>279.32</v>
      </c>
      <c r="BJ34" s="21">
        <f t="shared" si="65"/>
        <v>279.32</v>
      </c>
      <c r="BK34" s="21">
        <f t="shared" si="65"/>
        <v>279.32</v>
      </c>
      <c r="BL34" s="21">
        <f t="shared" si="65"/>
        <v>279.32</v>
      </c>
      <c r="BM34" s="21">
        <f t="shared" si="65"/>
        <v>279.32</v>
      </c>
      <c r="BN34" s="21">
        <f t="shared" si="65"/>
        <v>279.32</v>
      </c>
      <c r="BO34" s="21">
        <f t="shared" si="65"/>
        <v>279.32</v>
      </c>
      <c r="BP34" s="21">
        <f t="shared" si="65"/>
        <v>279.32</v>
      </c>
      <c r="BQ34" s="21">
        <f t="shared" si="65"/>
        <v>279.32</v>
      </c>
    </row>
    <row r="35" spans="2:70" hidden="1" x14ac:dyDescent="0.5">
      <c r="B35" s="17" t="s">
        <v>14</v>
      </c>
      <c r="C35" s="18" t="s">
        <v>37</v>
      </c>
      <c r="D35" s="18" t="s">
        <v>16</v>
      </c>
      <c r="E35" s="18" t="s">
        <v>36</v>
      </c>
      <c r="F35" s="19" t="s">
        <v>90</v>
      </c>
      <c r="G35" s="14">
        <v>5447</v>
      </c>
      <c r="H35" s="14">
        <v>5447</v>
      </c>
      <c r="I35" s="14">
        <v>5447</v>
      </c>
      <c r="J35" s="14">
        <v>5447</v>
      </c>
      <c r="K35" s="14">
        <v>5447</v>
      </c>
      <c r="L35" s="14">
        <v>5447</v>
      </c>
      <c r="M35" s="14">
        <v>5447</v>
      </c>
      <c r="N35" s="14">
        <v>5447.58</v>
      </c>
      <c r="O35" s="14">
        <v>5447.62</v>
      </c>
      <c r="P35" s="20">
        <v>5447.94</v>
      </c>
      <c r="Q35" s="20">
        <v>5448.44</v>
      </c>
      <c r="R35" s="20">
        <v>5449.09</v>
      </c>
      <c r="S35" s="20">
        <v>5449.71</v>
      </c>
      <c r="T35" s="14">
        <v>5449.71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20">
        <v>0</v>
      </c>
      <c r="AB35" s="20">
        <v>0</v>
      </c>
      <c r="AC35" s="20">
        <v>0</v>
      </c>
      <c r="AD35" s="20">
        <v>0</v>
      </c>
      <c r="AE35" s="14">
        <v>0</v>
      </c>
      <c r="AF35" s="20">
        <v>0</v>
      </c>
      <c r="AG35" s="20"/>
      <c r="AH35" s="20"/>
      <c r="AI35" s="20"/>
      <c r="AJ35" s="53"/>
      <c r="AK35" s="20"/>
      <c r="AL35" s="20"/>
      <c r="AM35" s="20"/>
      <c r="AN35" s="20"/>
      <c r="AO35" s="20"/>
      <c r="AP35" s="53"/>
      <c r="AQ35" s="20"/>
      <c r="AR35" s="20"/>
      <c r="AS35" s="20"/>
      <c r="AT35" s="20"/>
      <c r="AU35" s="20"/>
      <c r="AV35" s="20"/>
      <c r="AW35" s="21"/>
      <c r="AX35" s="21"/>
      <c r="AY35" s="21"/>
      <c r="AZ35" s="54"/>
      <c r="BA35" s="54"/>
      <c r="BB35" s="54"/>
      <c r="BC35" s="54"/>
      <c r="BD35" s="21"/>
      <c r="BE35" s="54"/>
      <c r="BF35" s="21"/>
      <c r="BG35" s="21"/>
      <c r="BH35" s="21"/>
      <c r="BI35" s="54"/>
      <c r="BJ35" s="54"/>
      <c r="BK35" s="54"/>
      <c r="BL35" s="21"/>
      <c r="BM35" s="21"/>
      <c r="BN35" s="21"/>
      <c r="BO35" s="54"/>
      <c r="BP35" s="54"/>
      <c r="BQ35" s="21"/>
    </row>
    <row r="36" spans="2:70" x14ac:dyDescent="0.5">
      <c r="B36" s="17" t="s">
        <v>14</v>
      </c>
      <c r="C36" s="18" t="s">
        <v>38</v>
      </c>
      <c r="D36" s="18" t="s">
        <v>16</v>
      </c>
      <c r="E36" s="18" t="s">
        <v>10</v>
      </c>
      <c r="F36" s="19" t="s">
        <v>88</v>
      </c>
      <c r="G36" s="14">
        <v>215737.72</v>
      </c>
      <c r="H36" s="14">
        <v>215764.32</v>
      </c>
      <c r="I36" s="14">
        <v>215819</v>
      </c>
      <c r="J36" s="14">
        <v>215819</v>
      </c>
      <c r="K36" s="14">
        <v>215819</v>
      </c>
      <c r="L36" s="14">
        <v>215819</v>
      </c>
      <c r="M36" s="20">
        <v>215819</v>
      </c>
      <c r="N36" s="20">
        <v>215819.3</v>
      </c>
      <c r="O36" s="20">
        <v>215819.3</v>
      </c>
      <c r="P36" s="20">
        <v>215819.3</v>
      </c>
      <c r="Q36" s="20">
        <v>215819.3</v>
      </c>
      <c r="R36" s="20">
        <v>215819.3</v>
      </c>
      <c r="S36" s="20">
        <v>215863.81</v>
      </c>
      <c r="T36" s="20">
        <v>216246.83</v>
      </c>
      <c r="U36" s="20">
        <v>216291.22</v>
      </c>
      <c r="V36" s="20">
        <v>216337.14</v>
      </c>
      <c r="W36" s="20">
        <v>216383.07</v>
      </c>
      <c r="X36" s="20">
        <v>216383.07</v>
      </c>
      <c r="Y36" s="20">
        <v>216473.47</v>
      </c>
      <c r="Z36" s="20">
        <v>216517.94</v>
      </c>
      <c r="AA36" s="20">
        <f>216563.91</f>
        <v>216563.91</v>
      </c>
      <c r="AB36" s="20">
        <f>216609.89</f>
        <v>216609.89</v>
      </c>
      <c r="AC36" s="20">
        <f>216651.43</f>
        <v>216651.43</v>
      </c>
      <c r="AD36" s="20">
        <f>216679.03</f>
        <v>216679.03</v>
      </c>
      <c r="AE36" s="14">
        <f>216705.74</f>
        <v>216705.74</v>
      </c>
      <c r="AF36" s="20">
        <f>216733.35</f>
        <v>216733.35</v>
      </c>
      <c r="AG36" s="20">
        <f>216733.35</f>
        <v>216733.35</v>
      </c>
      <c r="AH36" s="20">
        <f>216760.07</f>
        <v>216760.07</v>
      </c>
      <c r="AI36" s="20">
        <f>216815.29</f>
        <v>216815.29</v>
      </c>
      <c r="AJ36" s="20">
        <f>216815.29</f>
        <v>216815.29</v>
      </c>
      <c r="AK36" s="20">
        <f>216869.64</f>
        <v>216869.64</v>
      </c>
      <c r="AL36" s="20">
        <f>216869.64</f>
        <v>216869.64</v>
      </c>
      <c r="AM36" s="20">
        <f>216924</f>
        <v>216924</v>
      </c>
      <c r="AN36" s="20">
        <f>216951.63</f>
        <v>216951.63</v>
      </c>
      <c r="AO36" s="20">
        <f>216951.63</f>
        <v>216951.63</v>
      </c>
      <c r="AP36" s="20">
        <f>216976.59</f>
        <v>216976.59</v>
      </c>
      <c r="AQ36" s="20">
        <f>217004.23</f>
        <v>217004.23</v>
      </c>
      <c r="AR36" s="20">
        <f>217058.62</f>
        <v>217058.62</v>
      </c>
      <c r="AS36" s="20">
        <f>217085.38</f>
        <v>217085.38</v>
      </c>
      <c r="AT36" s="20">
        <f>217085.38</f>
        <v>217085.38</v>
      </c>
      <c r="AU36" s="20">
        <f>217113.03</f>
        <v>217113.03</v>
      </c>
      <c r="AV36" s="20">
        <f>217140.69</f>
        <v>217140.69</v>
      </c>
      <c r="AW36" s="21">
        <f>217167.46</f>
        <v>217167.46</v>
      </c>
      <c r="AX36" s="21">
        <f>217195.12</f>
        <v>217195.12</v>
      </c>
      <c r="AY36" s="21">
        <f>217249.56</f>
        <v>217249.56</v>
      </c>
      <c r="AZ36" s="21">
        <f>217277.23</f>
        <v>217277.23</v>
      </c>
      <c r="BA36" s="21">
        <f>217302.23</f>
        <v>217302.23</v>
      </c>
      <c r="BB36" s="21">
        <f>217329.91</f>
        <v>217329.91</v>
      </c>
      <c r="BC36" s="21">
        <f>217356.7</f>
        <v>217356.7</v>
      </c>
      <c r="BD36" s="21">
        <v>217384.39</v>
      </c>
      <c r="BE36" s="21">
        <f>217411.19</f>
        <v>217411.19</v>
      </c>
      <c r="BF36" s="21">
        <v>217438.89</v>
      </c>
      <c r="BG36" s="21">
        <v>217466.59</v>
      </c>
      <c r="BH36" s="21">
        <v>217466.59</v>
      </c>
      <c r="BI36" s="21">
        <v>217493.4</v>
      </c>
      <c r="BJ36" s="21">
        <v>217521.1</v>
      </c>
      <c r="BK36" s="21">
        <f>217575.62</f>
        <v>217575.62</v>
      </c>
      <c r="BL36" s="21">
        <v>217603.34</v>
      </c>
      <c r="BM36" s="21">
        <v>217603.34</v>
      </c>
      <c r="BN36" s="21">
        <f>217656.1</f>
        <v>217656.1</v>
      </c>
      <c r="BO36" s="21">
        <f>217682.93</f>
        <v>217682.93</v>
      </c>
      <c r="BP36" s="21">
        <v>217710.66</v>
      </c>
      <c r="BQ36" s="21">
        <v>217737.5</v>
      </c>
    </row>
    <row r="37" spans="2:70" hidden="1" x14ac:dyDescent="0.5">
      <c r="B37" s="17">
        <v>600</v>
      </c>
      <c r="C37" s="18" t="s">
        <v>39</v>
      </c>
      <c r="D37" s="18" t="s">
        <v>40</v>
      </c>
      <c r="E37" s="18" t="s">
        <v>10</v>
      </c>
      <c r="F37" s="19" t="s">
        <v>78</v>
      </c>
      <c r="G37" s="14">
        <v>6961.83</v>
      </c>
      <c r="H37" s="14">
        <v>6961.83</v>
      </c>
      <c r="I37" s="14">
        <v>6962</v>
      </c>
      <c r="J37" s="14">
        <v>6962</v>
      </c>
      <c r="K37" s="14">
        <v>7072.18</v>
      </c>
      <c r="L37" s="14">
        <v>7072.18</v>
      </c>
      <c r="M37" s="14">
        <v>7072.53</v>
      </c>
      <c r="N37" s="14">
        <v>7072.65</v>
      </c>
      <c r="O37" s="14">
        <v>7072.77</v>
      </c>
      <c r="P37" s="14">
        <v>7072.77</v>
      </c>
      <c r="Q37" s="14">
        <v>7073</v>
      </c>
      <c r="R37" s="20">
        <v>7073.12</v>
      </c>
      <c r="S37" s="14">
        <v>7073.24</v>
      </c>
      <c r="T37" s="14">
        <v>7073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20">
        <v>0</v>
      </c>
      <c r="AB37" s="20">
        <v>0</v>
      </c>
      <c r="AC37" s="20">
        <v>0</v>
      </c>
      <c r="AD37" s="20">
        <v>0</v>
      </c>
      <c r="AE37" s="14">
        <v>0</v>
      </c>
      <c r="AF37" s="20">
        <v>0</v>
      </c>
      <c r="AG37" s="20"/>
      <c r="AH37" s="20"/>
      <c r="AI37" s="20"/>
      <c r="AJ37" s="53"/>
      <c r="AK37" s="20"/>
      <c r="AL37" s="20"/>
      <c r="AM37" s="20"/>
      <c r="AN37" s="20"/>
      <c r="AO37" s="20"/>
      <c r="AP37" s="53"/>
      <c r="AQ37" s="20"/>
      <c r="AR37" s="20"/>
      <c r="AS37" s="20"/>
      <c r="AT37" s="20"/>
      <c r="AU37" s="20"/>
      <c r="AV37" s="20"/>
      <c r="AW37" s="21"/>
      <c r="AX37" s="21"/>
      <c r="AY37" s="21"/>
      <c r="AZ37" s="54"/>
      <c r="BA37" s="54"/>
      <c r="BB37" s="54"/>
      <c r="BC37" s="54"/>
      <c r="BD37" s="21"/>
      <c r="BE37" s="54"/>
      <c r="BF37" s="21"/>
      <c r="BG37" s="21"/>
      <c r="BH37" s="21"/>
      <c r="BI37" s="54"/>
      <c r="BJ37" s="54"/>
      <c r="BK37" s="54"/>
      <c r="BL37" s="21"/>
      <c r="BM37" s="21"/>
      <c r="BN37" s="21"/>
      <c r="BO37" s="54"/>
      <c r="BP37" s="54"/>
      <c r="BQ37" s="21"/>
    </row>
    <row r="38" spans="2:70" x14ac:dyDescent="0.5">
      <c r="B38" s="17">
        <v>603</v>
      </c>
      <c r="C38" s="18" t="s">
        <v>41</v>
      </c>
      <c r="D38" s="18" t="s">
        <v>40</v>
      </c>
      <c r="E38" s="18" t="s">
        <v>10</v>
      </c>
      <c r="F38" s="19" t="s">
        <v>79</v>
      </c>
      <c r="G38" s="14">
        <v>35792.1</v>
      </c>
      <c r="H38" s="14">
        <v>35792</v>
      </c>
      <c r="I38" s="14">
        <v>35792</v>
      </c>
      <c r="J38" s="14">
        <v>35792</v>
      </c>
      <c r="K38" s="14">
        <v>35792</v>
      </c>
      <c r="L38" s="14">
        <v>35792</v>
      </c>
      <c r="M38" s="14">
        <v>35792.1</v>
      </c>
      <c r="N38" s="14">
        <v>35792.1</v>
      </c>
      <c r="O38" s="14">
        <v>35792.1</v>
      </c>
      <c r="P38" s="14">
        <v>35792.1</v>
      </c>
      <c r="Q38" s="14">
        <v>35792.1</v>
      </c>
      <c r="R38" s="20">
        <v>35792.1</v>
      </c>
      <c r="S38" s="14">
        <v>35792.1</v>
      </c>
      <c r="T38" s="14">
        <v>35792.1</v>
      </c>
      <c r="U38" s="14">
        <v>35792.1</v>
      </c>
      <c r="V38" s="14">
        <v>35792.1</v>
      </c>
      <c r="W38" s="14">
        <v>35792.1</v>
      </c>
      <c r="X38" s="14">
        <v>35792.1</v>
      </c>
      <c r="Y38" s="14">
        <v>35792.1</v>
      </c>
      <c r="Z38" s="14">
        <v>35792.1</v>
      </c>
      <c r="AA38" s="20">
        <f t="shared" ref="AA38:AF38" si="66">35792.1</f>
        <v>35792.1</v>
      </c>
      <c r="AB38" s="20">
        <f t="shared" si="66"/>
        <v>35792.1</v>
      </c>
      <c r="AC38" s="20">
        <f t="shared" si="66"/>
        <v>35792.1</v>
      </c>
      <c r="AD38" s="20">
        <f t="shared" si="66"/>
        <v>35792.1</v>
      </c>
      <c r="AE38" s="14">
        <f t="shared" si="66"/>
        <v>35792.1</v>
      </c>
      <c r="AF38" s="20">
        <f t="shared" si="66"/>
        <v>35792.1</v>
      </c>
      <c r="AG38" s="20">
        <f t="shared" ref="AG38:AP38" si="67">35792.1</f>
        <v>35792.1</v>
      </c>
      <c r="AH38" s="20">
        <f t="shared" si="67"/>
        <v>35792.1</v>
      </c>
      <c r="AI38" s="20">
        <f t="shared" si="67"/>
        <v>35792.1</v>
      </c>
      <c r="AJ38" s="20">
        <f t="shared" si="67"/>
        <v>35792.1</v>
      </c>
      <c r="AK38" s="20">
        <f t="shared" si="67"/>
        <v>35792.1</v>
      </c>
      <c r="AL38" s="20">
        <f t="shared" si="67"/>
        <v>35792.1</v>
      </c>
      <c r="AM38" s="20">
        <f t="shared" si="67"/>
        <v>35792.1</v>
      </c>
      <c r="AN38" s="20">
        <f t="shared" si="67"/>
        <v>35792.1</v>
      </c>
      <c r="AO38" s="20">
        <f t="shared" si="67"/>
        <v>35792.1</v>
      </c>
      <c r="AP38" s="20">
        <f t="shared" si="67"/>
        <v>35792.1</v>
      </c>
      <c r="AQ38" s="20">
        <f t="shared" ref="AQ38:AV38" si="68">35792.1</f>
        <v>35792.1</v>
      </c>
      <c r="AR38" s="20">
        <f t="shared" si="68"/>
        <v>35792.1</v>
      </c>
      <c r="AS38" s="20">
        <f t="shared" si="68"/>
        <v>35792.1</v>
      </c>
      <c r="AT38" s="20">
        <f t="shared" si="68"/>
        <v>35792.1</v>
      </c>
      <c r="AU38" s="20">
        <f t="shared" si="68"/>
        <v>35792.1</v>
      </c>
      <c r="AV38" s="20">
        <f t="shared" si="68"/>
        <v>35792.1</v>
      </c>
      <c r="AW38" s="21">
        <f t="shared" ref="AW38:BQ38" si="69">35792.1</f>
        <v>35792.1</v>
      </c>
      <c r="AX38" s="21">
        <f t="shared" si="69"/>
        <v>35792.1</v>
      </c>
      <c r="AY38" s="21">
        <f t="shared" si="69"/>
        <v>35792.1</v>
      </c>
      <c r="AZ38" s="21">
        <f t="shared" si="69"/>
        <v>35792.1</v>
      </c>
      <c r="BA38" s="21">
        <f t="shared" si="69"/>
        <v>35792.1</v>
      </c>
      <c r="BB38" s="21">
        <f t="shared" si="69"/>
        <v>35792.1</v>
      </c>
      <c r="BC38" s="21">
        <f t="shared" si="69"/>
        <v>35792.1</v>
      </c>
      <c r="BD38" s="21">
        <f t="shared" si="69"/>
        <v>35792.1</v>
      </c>
      <c r="BE38" s="21">
        <f t="shared" si="69"/>
        <v>35792.1</v>
      </c>
      <c r="BF38" s="21">
        <f t="shared" si="69"/>
        <v>35792.1</v>
      </c>
      <c r="BG38" s="21">
        <f t="shared" si="69"/>
        <v>35792.1</v>
      </c>
      <c r="BH38" s="21">
        <f t="shared" si="69"/>
        <v>35792.1</v>
      </c>
      <c r="BI38" s="21">
        <f t="shared" si="69"/>
        <v>35792.1</v>
      </c>
      <c r="BJ38" s="21">
        <f t="shared" si="69"/>
        <v>35792.1</v>
      </c>
      <c r="BK38" s="21">
        <f t="shared" si="69"/>
        <v>35792.1</v>
      </c>
      <c r="BL38" s="21">
        <f t="shared" si="69"/>
        <v>35792.1</v>
      </c>
      <c r="BM38" s="21">
        <f t="shared" si="69"/>
        <v>35792.1</v>
      </c>
      <c r="BN38" s="21">
        <f t="shared" si="69"/>
        <v>35792.1</v>
      </c>
      <c r="BO38" s="21">
        <f t="shared" si="69"/>
        <v>35792.1</v>
      </c>
      <c r="BP38" s="21">
        <f t="shared" si="69"/>
        <v>35792.1</v>
      </c>
      <c r="BQ38" s="21">
        <f t="shared" si="69"/>
        <v>35792.1</v>
      </c>
    </row>
    <row r="39" spans="2:70" x14ac:dyDescent="0.5">
      <c r="B39" s="17"/>
      <c r="C39" s="18" t="s">
        <v>41</v>
      </c>
      <c r="D39" s="18" t="s">
        <v>40</v>
      </c>
      <c r="E39" s="18" t="s">
        <v>10</v>
      </c>
      <c r="F39" s="19" t="s">
        <v>80</v>
      </c>
      <c r="G39" s="14">
        <v>188183</v>
      </c>
      <c r="H39" s="14">
        <v>188183</v>
      </c>
      <c r="I39" s="14">
        <v>188183</v>
      </c>
      <c r="J39" s="14">
        <v>188183</v>
      </c>
      <c r="K39" s="14">
        <v>188183</v>
      </c>
      <c r="L39" s="14">
        <v>188183</v>
      </c>
      <c r="M39" s="14">
        <v>188183</v>
      </c>
      <c r="N39" s="14">
        <v>188183</v>
      </c>
      <c r="O39" s="14">
        <v>188183</v>
      </c>
      <c r="P39" s="14">
        <v>188183</v>
      </c>
      <c r="Q39" s="14">
        <v>188183</v>
      </c>
      <c r="R39" s="20">
        <v>188183</v>
      </c>
      <c r="S39" s="14">
        <v>188183</v>
      </c>
      <c r="T39" s="14">
        <v>188183</v>
      </c>
      <c r="U39" s="14">
        <v>188183</v>
      </c>
      <c r="V39" s="14">
        <v>188183</v>
      </c>
      <c r="W39" s="14">
        <v>188183</v>
      </c>
      <c r="X39" s="14">
        <v>188183</v>
      </c>
      <c r="Y39" s="14">
        <v>188183</v>
      </c>
      <c r="Z39" s="14">
        <v>188183</v>
      </c>
      <c r="AA39" s="20">
        <f t="shared" ref="AA39:AF39" si="70">188183</f>
        <v>188183</v>
      </c>
      <c r="AB39" s="20">
        <f t="shared" si="70"/>
        <v>188183</v>
      </c>
      <c r="AC39" s="20">
        <f t="shared" si="70"/>
        <v>188183</v>
      </c>
      <c r="AD39" s="20">
        <f t="shared" si="70"/>
        <v>188183</v>
      </c>
      <c r="AE39" s="14">
        <f t="shared" si="70"/>
        <v>188183</v>
      </c>
      <c r="AF39" s="20">
        <f t="shared" si="70"/>
        <v>188183</v>
      </c>
      <c r="AG39" s="20">
        <f t="shared" ref="AG39:AU39" si="71">188183</f>
        <v>188183</v>
      </c>
      <c r="AH39" s="20">
        <f t="shared" si="71"/>
        <v>188183</v>
      </c>
      <c r="AI39" s="20">
        <f t="shared" si="71"/>
        <v>188183</v>
      </c>
      <c r="AJ39" s="20">
        <f t="shared" si="71"/>
        <v>188183</v>
      </c>
      <c r="AK39" s="20">
        <f t="shared" si="71"/>
        <v>188183</v>
      </c>
      <c r="AL39" s="20">
        <f t="shared" si="71"/>
        <v>188183</v>
      </c>
      <c r="AM39" s="20">
        <f t="shared" si="71"/>
        <v>188183</v>
      </c>
      <c r="AN39" s="20">
        <f t="shared" si="71"/>
        <v>188183</v>
      </c>
      <c r="AO39" s="20">
        <f t="shared" si="71"/>
        <v>188183</v>
      </c>
      <c r="AP39" s="20">
        <f t="shared" si="71"/>
        <v>188183</v>
      </c>
      <c r="AQ39" s="20">
        <f t="shared" si="71"/>
        <v>188183</v>
      </c>
      <c r="AR39" s="20">
        <f t="shared" si="71"/>
        <v>188183</v>
      </c>
      <c r="AS39" s="20">
        <f t="shared" si="71"/>
        <v>188183</v>
      </c>
      <c r="AT39" s="20">
        <f t="shared" si="71"/>
        <v>188183</v>
      </c>
      <c r="AU39" s="20">
        <f t="shared" si="71"/>
        <v>188183</v>
      </c>
      <c r="AV39" s="20">
        <f t="shared" ref="AV39:BQ39" si="72">188183</f>
        <v>188183</v>
      </c>
      <c r="AW39" s="21">
        <f t="shared" si="72"/>
        <v>188183</v>
      </c>
      <c r="AX39" s="21">
        <f t="shared" si="72"/>
        <v>188183</v>
      </c>
      <c r="AY39" s="21">
        <f t="shared" si="72"/>
        <v>188183</v>
      </c>
      <c r="AZ39" s="21">
        <f t="shared" si="72"/>
        <v>188183</v>
      </c>
      <c r="BA39" s="21">
        <f t="shared" si="72"/>
        <v>188183</v>
      </c>
      <c r="BB39" s="21">
        <f t="shared" si="72"/>
        <v>188183</v>
      </c>
      <c r="BC39" s="21">
        <f t="shared" si="72"/>
        <v>188183</v>
      </c>
      <c r="BD39" s="21">
        <f t="shared" si="72"/>
        <v>188183</v>
      </c>
      <c r="BE39" s="21">
        <f t="shared" si="72"/>
        <v>188183</v>
      </c>
      <c r="BF39" s="21">
        <f t="shared" si="72"/>
        <v>188183</v>
      </c>
      <c r="BG39" s="21">
        <f t="shared" si="72"/>
        <v>188183</v>
      </c>
      <c r="BH39" s="21">
        <f t="shared" si="72"/>
        <v>188183</v>
      </c>
      <c r="BI39" s="21">
        <f t="shared" si="72"/>
        <v>188183</v>
      </c>
      <c r="BJ39" s="21">
        <f t="shared" si="72"/>
        <v>188183</v>
      </c>
      <c r="BK39" s="21">
        <f t="shared" si="72"/>
        <v>188183</v>
      </c>
      <c r="BL39" s="21">
        <f t="shared" si="72"/>
        <v>188183</v>
      </c>
      <c r="BM39" s="21">
        <f t="shared" si="72"/>
        <v>188183</v>
      </c>
      <c r="BN39" s="21">
        <f t="shared" si="72"/>
        <v>188183</v>
      </c>
      <c r="BO39" s="21">
        <f t="shared" si="72"/>
        <v>188183</v>
      </c>
      <c r="BP39" s="21">
        <f t="shared" si="72"/>
        <v>188183</v>
      </c>
      <c r="BQ39" s="21">
        <f t="shared" si="72"/>
        <v>188183</v>
      </c>
    </row>
    <row r="40" spans="2:70" x14ac:dyDescent="0.5">
      <c r="B40" s="17">
        <v>605</v>
      </c>
      <c r="C40" s="18" t="s">
        <v>42</v>
      </c>
      <c r="D40" s="18" t="s">
        <v>40</v>
      </c>
      <c r="E40" s="18" t="s">
        <v>10</v>
      </c>
      <c r="F40" s="19" t="s">
        <v>111</v>
      </c>
      <c r="G40" s="14">
        <v>107</v>
      </c>
      <c r="H40" s="14">
        <v>107</v>
      </c>
      <c r="I40" s="14">
        <v>107</v>
      </c>
      <c r="J40" s="14">
        <v>107</v>
      </c>
      <c r="K40" s="20">
        <v>107</v>
      </c>
      <c r="L40" s="20">
        <v>107</v>
      </c>
      <c r="M40" s="20">
        <v>107</v>
      </c>
      <c r="N40" s="20">
        <v>107</v>
      </c>
      <c r="O40" s="20">
        <v>107</v>
      </c>
      <c r="P40" s="20">
        <v>107</v>
      </c>
      <c r="Q40" s="20">
        <v>107</v>
      </c>
      <c r="R40" s="20">
        <v>107</v>
      </c>
      <c r="S40" s="20">
        <v>107</v>
      </c>
      <c r="T40" s="20">
        <v>107</v>
      </c>
      <c r="U40" s="20">
        <v>107</v>
      </c>
      <c r="V40" s="20">
        <v>107</v>
      </c>
      <c r="W40" s="20">
        <v>107</v>
      </c>
      <c r="X40" s="20">
        <v>107</v>
      </c>
      <c r="Y40" s="20">
        <v>107</v>
      </c>
      <c r="Z40" s="20">
        <v>7074.07</v>
      </c>
      <c r="AA40" s="20">
        <f>7120.75</f>
        <v>7120.75</v>
      </c>
      <c r="AB40" s="20">
        <f>7120.86</f>
        <v>7120.86</v>
      </c>
      <c r="AC40" s="20">
        <v>0</v>
      </c>
      <c r="AD40" s="20">
        <v>0</v>
      </c>
      <c r="AE40" s="14">
        <v>0</v>
      </c>
      <c r="AF40" s="20">
        <f>7121.33</f>
        <v>7121.33</v>
      </c>
      <c r="AG40" s="20">
        <f>7121.46</f>
        <v>7121.46</v>
      </c>
      <c r="AH40" s="20">
        <f>7121.58</f>
        <v>7121.58</v>
      </c>
      <c r="AI40" s="20">
        <f>7121.69</f>
        <v>7121.69</v>
      </c>
      <c r="AJ40" s="20">
        <f>7121.81</f>
        <v>7121.81</v>
      </c>
      <c r="AK40" s="20">
        <f>7121.93</f>
        <v>7121.93</v>
      </c>
      <c r="AL40" s="20">
        <f>7122.05</f>
        <v>7122.05</v>
      </c>
      <c r="AM40" s="20">
        <f>7122.17</f>
        <v>7122.17</v>
      </c>
      <c r="AN40" s="20">
        <f>7122.28</f>
        <v>7122.28</v>
      </c>
      <c r="AO40" s="20">
        <f>7122.4</f>
        <v>7122.4</v>
      </c>
      <c r="AP40" s="20">
        <f>7122.52</f>
        <v>7122.52</v>
      </c>
      <c r="AQ40" s="20">
        <f>7122.64</f>
        <v>7122.64</v>
      </c>
      <c r="AR40" s="20">
        <f>7122.76</f>
        <v>7122.76</v>
      </c>
      <c r="AS40" s="20">
        <f>7122.88</f>
        <v>7122.88</v>
      </c>
      <c r="AT40" s="20">
        <f>7123</f>
        <v>7123</v>
      </c>
      <c r="AU40" s="20">
        <f>7123.12</f>
        <v>7123.12</v>
      </c>
      <c r="AV40" s="20">
        <f>7123.12</f>
        <v>7123.12</v>
      </c>
      <c r="AW40" s="21">
        <f>7123.36</f>
        <v>7123.36</v>
      </c>
      <c r="AX40" s="21">
        <f>7123.48</f>
        <v>7123.48</v>
      </c>
      <c r="AY40" s="21">
        <f>7123.6</f>
        <v>7123.6</v>
      </c>
      <c r="AZ40" s="21">
        <f>7123.71</f>
        <v>7123.71</v>
      </c>
      <c r="BA40" s="21">
        <f>7123.83</f>
        <v>7123.83</v>
      </c>
      <c r="BB40" s="21">
        <f>7123.95</f>
        <v>7123.95</v>
      </c>
      <c r="BC40" s="21">
        <f>7124.07</f>
        <v>7124.07</v>
      </c>
      <c r="BD40" s="21">
        <f>7124.18</f>
        <v>7124.18</v>
      </c>
      <c r="BE40" s="21">
        <f>7124.31</f>
        <v>7124.31</v>
      </c>
      <c r="BF40" s="21">
        <f>7124.43</f>
        <v>7124.43</v>
      </c>
      <c r="BG40" s="21">
        <f>7124.54</f>
        <v>7124.54</v>
      </c>
      <c r="BH40" s="21">
        <f>7124.66</f>
        <v>7124.66</v>
      </c>
      <c r="BI40" s="21">
        <f>7124.78</f>
        <v>7124.78</v>
      </c>
      <c r="BJ40" s="21">
        <f>7124.9</f>
        <v>7124.9</v>
      </c>
      <c r="BK40" s="21">
        <f>7125.02</f>
        <v>7125.02</v>
      </c>
      <c r="BL40" s="21">
        <f>7125.02</f>
        <v>7125.02</v>
      </c>
      <c r="BM40" s="21">
        <f>7125.21</f>
        <v>7125.21</v>
      </c>
      <c r="BN40" s="21">
        <f>7125.27</f>
        <v>7125.27</v>
      </c>
      <c r="BO40" s="21">
        <f>7125.33</f>
        <v>7125.33</v>
      </c>
      <c r="BP40" s="21">
        <f>7125.39</f>
        <v>7125.39</v>
      </c>
      <c r="BQ40" s="21">
        <f>7125.45</f>
        <v>7125.45</v>
      </c>
    </row>
    <row r="41" spans="2:70" x14ac:dyDescent="0.5">
      <c r="B41" s="17">
        <v>101</v>
      </c>
      <c r="C41" s="18" t="s">
        <v>44</v>
      </c>
      <c r="D41" s="18" t="s">
        <v>7</v>
      </c>
      <c r="E41" s="18" t="s">
        <v>10</v>
      </c>
      <c r="F41" s="19" t="s">
        <v>81</v>
      </c>
      <c r="G41" s="14">
        <v>521645.74</v>
      </c>
      <c r="H41" s="14">
        <v>521645.74</v>
      </c>
      <c r="I41" s="14">
        <v>521646</v>
      </c>
      <c r="J41" s="14">
        <v>521312</v>
      </c>
      <c r="K41" s="14">
        <v>519758.26</v>
      </c>
      <c r="L41" s="14">
        <v>790415.57</v>
      </c>
      <c r="M41" s="14">
        <v>806324.56</v>
      </c>
      <c r="N41" s="14">
        <v>824491.39</v>
      </c>
      <c r="O41" s="14">
        <v>794061.39</v>
      </c>
      <c r="P41" s="14">
        <v>792321.98</v>
      </c>
      <c r="Q41" s="14">
        <v>788932.73</v>
      </c>
      <c r="R41" s="20">
        <v>789285.25</v>
      </c>
      <c r="S41" s="14">
        <v>789898.72</v>
      </c>
      <c r="T41" s="14">
        <v>803165.76</v>
      </c>
      <c r="U41" s="14">
        <v>803165.76</v>
      </c>
      <c r="V41" s="14">
        <v>803173.83</v>
      </c>
      <c r="W41" s="14">
        <v>803051.33</v>
      </c>
      <c r="X41" s="14">
        <v>807984.83</v>
      </c>
      <c r="Y41" s="14">
        <v>806492.33</v>
      </c>
      <c r="Z41" s="14">
        <v>781902.33</v>
      </c>
      <c r="AA41" s="20">
        <f>750050.01</f>
        <v>750050.01</v>
      </c>
      <c r="AB41" s="20">
        <f>738930.87</f>
        <v>738930.87</v>
      </c>
      <c r="AC41" s="20">
        <f>755722.45</f>
        <v>755722.45</v>
      </c>
      <c r="AD41" s="20">
        <f>762777.28</f>
        <v>762777.28</v>
      </c>
      <c r="AE41" s="14">
        <f>713728.04</f>
        <v>713728.04</v>
      </c>
      <c r="AF41" s="20">
        <f>699319.64</f>
        <v>699319.64</v>
      </c>
      <c r="AG41" s="20">
        <f>699319.64</f>
        <v>699319.64</v>
      </c>
      <c r="AH41" s="20">
        <f>670655.57</f>
        <v>670655.56999999995</v>
      </c>
      <c r="AI41" s="20">
        <f>673253.55</f>
        <v>673253.55</v>
      </c>
      <c r="AJ41" s="20">
        <f>637252.35</f>
        <v>637252.35</v>
      </c>
      <c r="AK41" s="20">
        <f>652921.29</f>
        <v>652921.29</v>
      </c>
      <c r="AL41" s="20">
        <f>651551.29</f>
        <v>651551.29</v>
      </c>
      <c r="AM41" s="20">
        <f>652023.66</f>
        <v>652023.66</v>
      </c>
      <c r="AN41" s="20">
        <f>652023.66</f>
        <v>652023.66</v>
      </c>
      <c r="AO41" s="20">
        <f>526214.13</f>
        <v>526214.13</v>
      </c>
      <c r="AP41" s="20">
        <f>468082.27</f>
        <v>468082.27</v>
      </c>
      <c r="AQ41" s="20">
        <f>452647.27</f>
        <v>452647.27</v>
      </c>
      <c r="AR41" s="20">
        <f>446972.42</f>
        <v>446972.42</v>
      </c>
      <c r="AS41" s="20">
        <f>449646.27</f>
        <v>449646.27</v>
      </c>
      <c r="AT41" s="20">
        <f>420489.83</f>
        <v>420489.83</v>
      </c>
      <c r="AU41" s="20">
        <f>421227.98</f>
        <v>421227.98</v>
      </c>
      <c r="AV41" s="20">
        <f>416655.02</f>
        <v>416655.02</v>
      </c>
      <c r="AW41" s="21">
        <f>416655.02</f>
        <v>416655.02</v>
      </c>
      <c r="AX41" s="21">
        <f>404074.02</f>
        <v>404074.02</v>
      </c>
      <c r="AY41" s="21">
        <f>321508.37</f>
        <v>321508.37</v>
      </c>
      <c r="AZ41" s="21">
        <f>320548.64</f>
        <v>320548.64</v>
      </c>
      <c r="BA41" s="21">
        <f>317543.61</f>
        <v>317543.61</v>
      </c>
      <c r="BB41" s="21">
        <f>305453.16</f>
        <v>305453.15999999997</v>
      </c>
      <c r="BC41" s="21">
        <f>306386.33</f>
        <v>306386.33</v>
      </c>
      <c r="BD41" s="21">
        <v>305042.78000000003</v>
      </c>
      <c r="BE41" s="21">
        <f>313446.55</f>
        <v>313446.55</v>
      </c>
      <c r="BF41" s="21">
        <v>315772.87</v>
      </c>
      <c r="BG41" s="21">
        <v>302535.21999999997</v>
      </c>
      <c r="BH41" s="21">
        <v>284648.73</v>
      </c>
      <c r="BI41" s="21">
        <v>283779.15000000002</v>
      </c>
      <c r="BJ41" s="21">
        <v>278136.25</v>
      </c>
      <c r="BK41" s="21">
        <f>266633.26</f>
        <v>266633.26</v>
      </c>
      <c r="BL41" s="21">
        <v>269385.83</v>
      </c>
      <c r="BM41" s="21">
        <v>269385.83</v>
      </c>
      <c r="BN41" s="21">
        <f>311139.76</f>
        <v>311139.76</v>
      </c>
      <c r="BO41" s="21">
        <f>311139.76</f>
        <v>311139.76</v>
      </c>
      <c r="BP41" s="21">
        <v>317188.65999999997</v>
      </c>
      <c r="BQ41" s="21">
        <v>318069.46000000002</v>
      </c>
    </row>
    <row r="42" spans="2:70" x14ac:dyDescent="0.5">
      <c r="B42" s="17" t="s">
        <v>45</v>
      </c>
      <c r="C42" s="18" t="s">
        <v>46</v>
      </c>
      <c r="D42" s="18" t="s">
        <v>22</v>
      </c>
      <c r="E42" s="18" t="s">
        <v>10</v>
      </c>
      <c r="F42" s="19" t="s">
        <v>82</v>
      </c>
      <c r="G42" s="14">
        <v>140856</v>
      </c>
      <c r="H42" s="14">
        <v>140856</v>
      </c>
      <c r="I42" s="14">
        <v>140856</v>
      </c>
      <c r="J42" s="14">
        <v>140856</v>
      </c>
      <c r="K42" s="14">
        <v>140856</v>
      </c>
      <c r="L42" s="14">
        <v>140856</v>
      </c>
      <c r="M42" s="14">
        <v>140856</v>
      </c>
      <c r="N42" s="14">
        <v>140856</v>
      </c>
      <c r="O42" s="14">
        <v>140856</v>
      </c>
      <c r="P42" s="14">
        <v>140856</v>
      </c>
      <c r="Q42" s="14">
        <v>140856</v>
      </c>
      <c r="R42" s="20">
        <v>140856</v>
      </c>
      <c r="S42" s="14">
        <v>140856</v>
      </c>
      <c r="T42" s="14">
        <v>140856</v>
      </c>
      <c r="U42" s="14">
        <v>140856</v>
      </c>
      <c r="V42" s="14">
        <v>140856</v>
      </c>
      <c r="W42" s="14">
        <v>140856</v>
      </c>
      <c r="X42" s="14">
        <v>140856</v>
      </c>
      <c r="Y42" s="14">
        <v>140856</v>
      </c>
      <c r="Z42" s="14">
        <v>140856</v>
      </c>
      <c r="AA42" s="20">
        <f t="shared" ref="AA42:AF42" si="73">140856</f>
        <v>140856</v>
      </c>
      <c r="AB42" s="20">
        <f t="shared" si="73"/>
        <v>140856</v>
      </c>
      <c r="AC42" s="20">
        <f t="shared" si="73"/>
        <v>140856</v>
      </c>
      <c r="AD42" s="20">
        <f t="shared" si="73"/>
        <v>140856</v>
      </c>
      <c r="AE42" s="14">
        <f t="shared" si="73"/>
        <v>140856</v>
      </c>
      <c r="AF42" s="20">
        <f t="shared" si="73"/>
        <v>140856</v>
      </c>
      <c r="AG42" s="20">
        <f>141384.66</f>
        <v>141384.66</v>
      </c>
      <c r="AH42" s="20">
        <f>141384.66</f>
        <v>141384.66</v>
      </c>
      <c r="AI42" s="20">
        <f>141420.91</f>
        <v>141420.91</v>
      </c>
      <c r="AJ42" s="20">
        <f>141423.31</f>
        <v>141423.31</v>
      </c>
      <c r="AK42" s="20">
        <f>141443.06</f>
        <v>141443.06</v>
      </c>
      <c r="AL42" s="20">
        <f>141445.47</f>
        <v>141445.47</v>
      </c>
      <c r="AM42" s="20">
        <f>141447.87</f>
        <v>141447.87</v>
      </c>
      <c r="AN42" s="20">
        <f>141450.04</f>
        <v>141450.04</v>
      </c>
      <c r="AO42" s="20">
        <f>141452.44</f>
        <v>141452.44</v>
      </c>
      <c r="AP42" s="20">
        <f>141454.77</f>
        <v>141454.76999999999</v>
      </c>
      <c r="AQ42" s="20">
        <f>141457.17</f>
        <v>141457.17000000001</v>
      </c>
      <c r="AR42" s="20">
        <f>141459.5</f>
        <v>141459.5</v>
      </c>
      <c r="AS42" s="20">
        <f>141461.9</f>
        <v>141461.9</v>
      </c>
      <c r="AT42" s="20">
        <f>141464.3</f>
        <v>141464.29999999999</v>
      </c>
      <c r="AU42" s="20">
        <f>141497.75</f>
        <v>141497.75</v>
      </c>
      <c r="AV42" s="20">
        <f>141497.75</f>
        <v>141497.75</v>
      </c>
      <c r="AW42" s="21">
        <f>141695.22</f>
        <v>141695.22</v>
      </c>
      <c r="AX42" s="21">
        <f>141765.49</f>
        <v>141765.49</v>
      </c>
      <c r="AY42" s="21">
        <f>141855.82</f>
        <v>141855.82</v>
      </c>
      <c r="AZ42" s="21">
        <f>141937.46</f>
        <v>141937.46</v>
      </c>
      <c r="BA42" s="21">
        <v>142027.9</v>
      </c>
      <c r="BB42" s="21">
        <f>142115.48</f>
        <v>142115.48000000001</v>
      </c>
      <c r="BC42" s="21">
        <f>142206.03</f>
        <v>142206.03</v>
      </c>
      <c r="BD42" s="21">
        <v>142293.72</v>
      </c>
      <c r="BE42" s="21">
        <f>142384.39</f>
        <v>142384.39000000001</v>
      </c>
      <c r="BF42" s="21">
        <v>142475.10999999999</v>
      </c>
      <c r="BG42" s="21">
        <v>142553.59</v>
      </c>
      <c r="BH42" s="21">
        <v>142620.20000000001</v>
      </c>
      <c r="BI42" s="21">
        <v>142655.37</v>
      </c>
      <c r="BJ42" s="21">
        <v>142691.72</v>
      </c>
      <c r="BK42" s="21">
        <f>142727.98</f>
        <v>142727.98000000001</v>
      </c>
      <c r="BL42" s="21">
        <v>142761.91</v>
      </c>
      <c r="BM42" s="21">
        <v>142775.41</v>
      </c>
      <c r="BN42" s="21">
        <v>142799.99</v>
      </c>
      <c r="BO42" s="21">
        <v>142830.23000000001</v>
      </c>
      <c r="BP42" s="21">
        <v>142859.5</v>
      </c>
      <c r="BQ42" s="21">
        <v>142889.75</v>
      </c>
    </row>
    <row r="43" spans="2:70" x14ac:dyDescent="0.5">
      <c r="B43" s="17">
        <v>101</v>
      </c>
      <c r="C43" s="18" t="s">
        <v>47</v>
      </c>
      <c r="D43" s="18" t="s">
        <v>43</v>
      </c>
      <c r="E43" s="18" t="s">
        <v>99</v>
      </c>
      <c r="F43" s="19" t="s">
        <v>109</v>
      </c>
      <c r="G43" s="14">
        <v>1058965</v>
      </c>
      <c r="H43" s="14">
        <v>1058965</v>
      </c>
      <c r="I43" s="14">
        <v>1000183.75</v>
      </c>
      <c r="J43" s="14">
        <v>1001148</v>
      </c>
      <c r="K43" s="14">
        <v>1001148</v>
      </c>
      <c r="L43" s="20">
        <v>1001148</v>
      </c>
      <c r="M43" s="20">
        <v>1001148</v>
      </c>
      <c r="N43" s="20">
        <v>1014260.98</v>
      </c>
      <c r="O43" s="20">
        <v>1016162.87</v>
      </c>
      <c r="P43" s="20">
        <v>1017332.13</v>
      </c>
      <c r="Q43" s="20">
        <v>1019193.18</v>
      </c>
      <c r="R43" s="20">
        <v>1263942.01</v>
      </c>
      <c r="S43" s="20">
        <v>1263638.73</v>
      </c>
      <c r="T43" s="20">
        <v>1265157.46</v>
      </c>
      <c r="U43" s="20">
        <v>1267073.27</v>
      </c>
      <c r="V43" s="20">
        <v>1246831.9099999999</v>
      </c>
      <c r="W43" s="20">
        <v>1247660.17</v>
      </c>
      <c r="X43" s="20">
        <v>1252880.8500000001</v>
      </c>
      <c r="Y43" s="20">
        <v>1251946.3</v>
      </c>
      <c r="Z43" s="20">
        <v>1248975.27</v>
      </c>
      <c r="AA43" s="20">
        <f>1249036.83</f>
        <v>1249036.83</v>
      </c>
      <c r="AB43" s="20">
        <f>1248757.84</f>
        <v>1248757.8400000001</v>
      </c>
      <c r="AC43" s="20">
        <f>1251064.59</f>
        <v>1251064.5900000001</v>
      </c>
      <c r="AD43" s="20">
        <f>1253155.43</f>
        <v>1253155.43</v>
      </c>
      <c r="AE43" s="14">
        <f>1253275.82</f>
        <v>1253275.82</v>
      </c>
      <c r="AF43" s="20">
        <f>1257391.26</f>
        <v>1257391.26</v>
      </c>
      <c r="AG43" s="20">
        <f>1257561.05</f>
        <v>1257561.05</v>
      </c>
      <c r="AH43" s="20">
        <f>1258890.41</f>
        <v>1258890.4099999999</v>
      </c>
      <c r="AI43" s="20">
        <f>1264186.51</f>
        <v>1264186.51</v>
      </c>
      <c r="AJ43" s="20">
        <f>1269072.14</f>
        <v>1269072.1399999999</v>
      </c>
      <c r="AK43" s="20">
        <f>1267653.48</f>
        <v>1267653.48</v>
      </c>
      <c r="AL43" s="20">
        <f>1263794.35</f>
        <v>1263794.3500000001</v>
      </c>
      <c r="AM43" s="20">
        <f>1259889.55</f>
        <v>1259889.55</v>
      </c>
      <c r="AN43" s="20">
        <f>1255387.25</f>
        <v>1255387.25</v>
      </c>
      <c r="AO43" s="20">
        <f>1257880.6</f>
        <v>1257880.6000000001</v>
      </c>
      <c r="AP43" s="20">
        <f>1257880.6</f>
        <v>1257880.6000000001</v>
      </c>
      <c r="AQ43" s="20">
        <f>1254853.12</f>
        <v>1254853.1200000001</v>
      </c>
      <c r="AR43" s="20">
        <f>1253502.15</f>
        <v>1253502.1499999999</v>
      </c>
      <c r="AS43" s="20">
        <f>1254651.82</f>
        <v>1254651.82</v>
      </c>
      <c r="AT43" s="20">
        <f>1225369.25</f>
        <v>1225369.25</v>
      </c>
      <c r="AU43" s="20">
        <f>1229521.22</f>
        <v>1229521.22</v>
      </c>
      <c r="AV43" s="20">
        <f>1234632.31</f>
        <v>1234632.31</v>
      </c>
      <c r="AW43" s="21">
        <f>1233500.75</f>
        <v>1233500.75</v>
      </c>
      <c r="AX43" s="21">
        <v>1247000</v>
      </c>
      <c r="AY43" s="21">
        <v>1247000</v>
      </c>
      <c r="AZ43" s="21">
        <v>1247000</v>
      </c>
      <c r="BA43" s="21">
        <v>1247000</v>
      </c>
      <c r="BB43" s="21">
        <v>1247000</v>
      </c>
      <c r="BC43" s="21">
        <v>1247000</v>
      </c>
      <c r="BD43" s="21">
        <v>1247000</v>
      </c>
      <c r="BE43" s="21">
        <v>1247000</v>
      </c>
      <c r="BF43" s="21">
        <v>1247000</v>
      </c>
      <c r="BG43" s="21">
        <v>1247000</v>
      </c>
      <c r="BH43" s="21">
        <v>1247000</v>
      </c>
      <c r="BI43" s="21">
        <v>1247000</v>
      </c>
      <c r="BJ43" s="21">
        <v>1247000</v>
      </c>
      <c r="BK43" s="21">
        <v>1247000</v>
      </c>
      <c r="BL43" s="21">
        <v>1247000</v>
      </c>
      <c r="BM43" s="21">
        <v>1250000</v>
      </c>
      <c r="BN43" s="21">
        <v>1250000</v>
      </c>
      <c r="BO43" s="21">
        <v>1250000</v>
      </c>
      <c r="BP43" s="21">
        <v>1250000</v>
      </c>
      <c r="BQ43" s="21">
        <v>1250000</v>
      </c>
      <c r="BR43" s="4" t="s">
        <v>140</v>
      </c>
    </row>
    <row r="44" spans="2:70" x14ac:dyDescent="0.5">
      <c r="B44" s="17">
        <v>500</v>
      </c>
      <c r="C44" s="18" t="s">
        <v>83</v>
      </c>
      <c r="D44" s="18" t="s">
        <v>43</v>
      </c>
      <c r="E44" s="18" t="s">
        <v>10</v>
      </c>
      <c r="F44" s="19" t="s">
        <v>84</v>
      </c>
      <c r="G44" s="14">
        <v>133819</v>
      </c>
      <c r="H44" s="14">
        <v>133819</v>
      </c>
      <c r="I44" s="14">
        <v>133819</v>
      </c>
      <c r="J44" s="14">
        <v>133819</v>
      </c>
      <c r="K44" s="14">
        <v>133819</v>
      </c>
      <c r="L44" s="14">
        <v>133819</v>
      </c>
      <c r="M44" s="14">
        <v>133818.60999999999</v>
      </c>
      <c r="N44" s="14">
        <v>133818.60999999999</v>
      </c>
      <c r="O44" s="14">
        <v>133818.60999999999</v>
      </c>
      <c r="P44" s="14">
        <v>133818.60999999999</v>
      </c>
      <c r="Q44" s="14">
        <v>233818.91</v>
      </c>
      <c r="R44" s="20">
        <v>1574.43</v>
      </c>
      <c r="S44" s="14">
        <v>1574.43</v>
      </c>
      <c r="T44" s="14">
        <v>1574.43</v>
      </c>
      <c r="U44" s="14">
        <v>1574.43</v>
      </c>
      <c r="V44" s="14">
        <v>1574.43</v>
      </c>
      <c r="W44" s="14">
        <v>1574.43</v>
      </c>
      <c r="X44" s="14">
        <v>1574.43</v>
      </c>
      <c r="Y44" s="14">
        <v>1574.43</v>
      </c>
      <c r="Z44" s="14">
        <v>1574.43</v>
      </c>
      <c r="AA44" s="20">
        <f t="shared" ref="AA44:AF44" si="74">1574.43</f>
        <v>1574.43</v>
      </c>
      <c r="AB44" s="20">
        <f t="shared" si="74"/>
        <v>1574.43</v>
      </c>
      <c r="AC44" s="20">
        <f t="shared" si="74"/>
        <v>1574.43</v>
      </c>
      <c r="AD44" s="20">
        <f t="shared" si="74"/>
        <v>1574.43</v>
      </c>
      <c r="AE44" s="14">
        <f t="shared" si="74"/>
        <v>1574.43</v>
      </c>
      <c r="AF44" s="20">
        <f t="shared" si="74"/>
        <v>1574.43</v>
      </c>
      <c r="AG44" s="20">
        <f t="shared" ref="AG44:AS44" si="75">1574.43</f>
        <v>1574.43</v>
      </c>
      <c r="AH44" s="20">
        <f t="shared" si="75"/>
        <v>1574.43</v>
      </c>
      <c r="AI44" s="20">
        <f t="shared" si="75"/>
        <v>1574.43</v>
      </c>
      <c r="AJ44" s="20">
        <f t="shared" si="75"/>
        <v>1574.43</v>
      </c>
      <c r="AK44" s="20">
        <f t="shared" si="75"/>
        <v>1574.43</v>
      </c>
      <c r="AL44" s="20">
        <f t="shared" si="75"/>
        <v>1574.43</v>
      </c>
      <c r="AM44" s="20">
        <f t="shared" si="75"/>
        <v>1574.43</v>
      </c>
      <c r="AN44" s="20">
        <f t="shared" si="75"/>
        <v>1574.43</v>
      </c>
      <c r="AO44" s="20">
        <f t="shared" si="75"/>
        <v>1574.43</v>
      </c>
      <c r="AP44" s="20">
        <f t="shared" si="75"/>
        <v>1574.43</v>
      </c>
      <c r="AQ44" s="20">
        <f t="shared" si="75"/>
        <v>1574.43</v>
      </c>
      <c r="AR44" s="20">
        <f t="shared" si="75"/>
        <v>1574.43</v>
      </c>
      <c r="AS44" s="20">
        <f t="shared" si="75"/>
        <v>1574.43</v>
      </c>
      <c r="AT44" s="20">
        <f t="shared" ref="AT44:AZ44" si="76">7090.43</f>
        <v>7090.43</v>
      </c>
      <c r="AU44" s="20">
        <f t="shared" si="76"/>
        <v>7090.43</v>
      </c>
      <c r="AV44" s="20">
        <f t="shared" si="76"/>
        <v>7090.43</v>
      </c>
      <c r="AW44" s="21">
        <f t="shared" si="76"/>
        <v>7090.43</v>
      </c>
      <c r="AX44" s="21">
        <f t="shared" si="76"/>
        <v>7090.43</v>
      </c>
      <c r="AY44" s="21">
        <f t="shared" si="76"/>
        <v>7090.43</v>
      </c>
      <c r="AZ44" s="21">
        <f t="shared" si="76"/>
        <v>7090.43</v>
      </c>
      <c r="BA44" s="21">
        <f>9879.81</f>
        <v>9879.81</v>
      </c>
      <c r="BB44" s="21">
        <f t="shared" ref="BB44:BQ44" si="77">7090.43</f>
        <v>7090.43</v>
      </c>
      <c r="BC44" s="21">
        <f t="shared" si="77"/>
        <v>7090.43</v>
      </c>
      <c r="BD44" s="21">
        <f t="shared" si="77"/>
        <v>7090.43</v>
      </c>
      <c r="BE44" s="21">
        <f t="shared" si="77"/>
        <v>7090.43</v>
      </c>
      <c r="BF44" s="21">
        <f t="shared" si="77"/>
        <v>7090.43</v>
      </c>
      <c r="BG44" s="21">
        <f t="shared" si="77"/>
        <v>7090.43</v>
      </c>
      <c r="BH44" s="21">
        <f t="shared" si="77"/>
        <v>7090.43</v>
      </c>
      <c r="BI44" s="21">
        <f t="shared" si="77"/>
        <v>7090.43</v>
      </c>
      <c r="BJ44" s="21">
        <f t="shared" si="77"/>
        <v>7090.43</v>
      </c>
      <c r="BK44" s="21">
        <f t="shared" si="77"/>
        <v>7090.43</v>
      </c>
      <c r="BL44" s="21">
        <f t="shared" si="77"/>
        <v>7090.43</v>
      </c>
      <c r="BM44" s="21">
        <f t="shared" si="77"/>
        <v>7090.43</v>
      </c>
      <c r="BN44" s="21">
        <f t="shared" si="77"/>
        <v>7090.43</v>
      </c>
      <c r="BO44" s="21">
        <f t="shared" si="77"/>
        <v>7090.43</v>
      </c>
      <c r="BP44" s="21">
        <f t="shared" si="77"/>
        <v>7090.43</v>
      </c>
      <c r="BQ44" s="21">
        <f t="shared" si="77"/>
        <v>7090.43</v>
      </c>
    </row>
    <row r="45" spans="2:70" x14ac:dyDescent="0.5">
      <c r="B45" s="17">
        <v>101</v>
      </c>
      <c r="C45" s="18" t="s">
        <v>98</v>
      </c>
      <c r="D45" s="18" t="s">
        <v>7</v>
      </c>
      <c r="E45" s="18" t="s">
        <v>99</v>
      </c>
      <c r="F45" s="19" t="s">
        <v>110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20"/>
      <c r="S45" s="14"/>
      <c r="T45" s="14">
        <v>2026487.5</v>
      </c>
      <c r="U45" s="14">
        <v>2027972.5</v>
      </c>
      <c r="V45" s="14">
        <v>2027232.5</v>
      </c>
      <c r="W45" s="14">
        <v>2526735</v>
      </c>
      <c r="X45" s="14">
        <v>2527845</v>
      </c>
      <c r="Y45" s="14">
        <v>2772352.5</v>
      </c>
      <c r="Z45" s="14">
        <v>2751955</v>
      </c>
      <c r="AA45" s="20">
        <f>2753720</f>
        <v>2753720</v>
      </c>
      <c r="AB45" s="20">
        <f>2754526.2</f>
        <v>2754526.2</v>
      </c>
      <c r="AC45" s="20">
        <f>2745590</f>
        <v>2745590</v>
      </c>
      <c r="AD45" s="20">
        <f>2746430</f>
        <v>2746430</v>
      </c>
      <c r="AE45" s="14">
        <v>2746430</v>
      </c>
      <c r="AF45" s="20">
        <v>2722697.5</v>
      </c>
      <c r="AG45" s="20">
        <f>2726827.5</f>
        <v>2726827.5</v>
      </c>
      <c r="AH45" s="20">
        <f>2732983.8</f>
        <v>2732983.8</v>
      </c>
      <c r="AI45" s="20">
        <f>2737267.5</f>
        <v>2737267.5</v>
      </c>
      <c r="AJ45" s="20">
        <f>2738037.5</f>
        <v>2738037.5</v>
      </c>
      <c r="AK45" s="20">
        <f>2728435</f>
        <v>2728435</v>
      </c>
      <c r="AL45" s="20">
        <f>2728852.5</f>
        <v>2728852.5</v>
      </c>
      <c r="AM45" s="20">
        <f>2710025</f>
        <v>2710025</v>
      </c>
      <c r="AN45" s="20">
        <f>2712956.2</f>
        <v>2712956.2</v>
      </c>
      <c r="AO45" s="20">
        <f>2716192.5</f>
        <v>2716192.5</v>
      </c>
      <c r="AP45" s="20">
        <f>2716192.5</f>
        <v>2716192.5</v>
      </c>
      <c r="AQ45" s="20">
        <f>2702060</f>
        <v>2702060</v>
      </c>
      <c r="AR45" s="20">
        <v>2687637.5</v>
      </c>
      <c r="AS45" s="20">
        <v>2671232.5</v>
      </c>
      <c r="AT45" s="20">
        <f>2677361.3</f>
        <v>2677361.2999999998</v>
      </c>
      <c r="AU45" s="24">
        <v>4750000</v>
      </c>
      <c r="AV45" s="24">
        <v>4750000</v>
      </c>
      <c r="AW45" s="26">
        <v>4750000</v>
      </c>
      <c r="AX45" s="26">
        <v>4750000</v>
      </c>
      <c r="AY45" s="26">
        <v>4750000</v>
      </c>
      <c r="AZ45" s="26">
        <v>4750000</v>
      </c>
      <c r="BA45" s="26">
        <v>2750000</v>
      </c>
      <c r="BB45" s="26">
        <v>2750000</v>
      </c>
      <c r="BC45" s="26">
        <v>2750000</v>
      </c>
      <c r="BD45" s="26">
        <v>2750000</v>
      </c>
      <c r="BE45" s="26">
        <v>2750000</v>
      </c>
      <c r="BF45" s="26">
        <v>2750000</v>
      </c>
      <c r="BG45" s="26">
        <v>2500000</v>
      </c>
      <c r="BH45" s="26">
        <f>2500000+1000000</f>
        <v>3500000</v>
      </c>
      <c r="BI45" s="26">
        <v>3500000</v>
      </c>
      <c r="BJ45" s="26">
        <v>3500000</v>
      </c>
      <c r="BK45" s="26">
        <v>3500000</v>
      </c>
      <c r="BL45" s="26">
        <v>3500000</v>
      </c>
      <c r="BM45" s="26">
        <v>3500000</v>
      </c>
      <c r="BN45" s="26">
        <v>3500000</v>
      </c>
      <c r="BO45" s="26">
        <v>3500000</v>
      </c>
      <c r="BP45" s="26">
        <v>3500000</v>
      </c>
      <c r="BQ45" s="26">
        <v>3250000</v>
      </c>
      <c r="BR45" s="4" t="s">
        <v>140</v>
      </c>
    </row>
    <row r="46" spans="2:70" x14ac:dyDescent="0.5">
      <c r="B46" s="17">
        <v>503</v>
      </c>
      <c r="C46" s="18" t="s">
        <v>48</v>
      </c>
      <c r="D46" s="18" t="s">
        <v>43</v>
      </c>
      <c r="E46" s="18" t="s">
        <v>67</v>
      </c>
      <c r="F46" s="19" t="s">
        <v>112</v>
      </c>
      <c r="G46" s="14">
        <v>1811.32</v>
      </c>
      <c r="H46" s="14">
        <v>1811</v>
      </c>
      <c r="I46" s="14">
        <v>1811</v>
      </c>
      <c r="J46" s="14">
        <v>1811</v>
      </c>
      <c r="K46" s="14">
        <v>1811</v>
      </c>
      <c r="L46" s="14">
        <v>1811</v>
      </c>
      <c r="M46" s="14">
        <v>1811.33</v>
      </c>
      <c r="N46" s="14">
        <v>1811.33</v>
      </c>
      <c r="O46" s="14">
        <v>1811.33</v>
      </c>
      <c r="P46" s="14">
        <v>1811.33</v>
      </c>
      <c r="Q46" s="14">
        <v>1811.33</v>
      </c>
      <c r="R46" s="20">
        <v>1811.33</v>
      </c>
      <c r="S46" s="14">
        <v>1811.34</v>
      </c>
      <c r="T46" s="14">
        <v>1811.34</v>
      </c>
      <c r="U46" s="14">
        <v>1811.34</v>
      </c>
      <c r="V46" s="14">
        <v>1811.34</v>
      </c>
      <c r="W46" s="14">
        <v>1811.34</v>
      </c>
      <c r="X46" s="14">
        <v>1811.34</v>
      </c>
      <c r="Y46" s="14">
        <v>1811.35</v>
      </c>
      <c r="Z46" s="14">
        <v>1811.35</v>
      </c>
      <c r="AA46" s="20">
        <f>1811.35</f>
        <v>1811.35</v>
      </c>
      <c r="AB46" s="20">
        <f>1811.35</f>
        <v>1811.35</v>
      </c>
      <c r="AC46" s="20">
        <f>1811.35</f>
        <v>1811.35</v>
      </c>
      <c r="AD46" s="20">
        <f>1811.35</f>
        <v>1811.35</v>
      </c>
      <c r="AE46" s="14">
        <f t="shared" ref="AE46:AJ46" si="78">1811.36</f>
        <v>1811.36</v>
      </c>
      <c r="AF46" s="20">
        <f t="shared" si="78"/>
        <v>1811.36</v>
      </c>
      <c r="AG46" s="20">
        <f t="shared" si="78"/>
        <v>1811.36</v>
      </c>
      <c r="AH46" s="20">
        <f t="shared" si="78"/>
        <v>1811.36</v>
      </c>
      <c r="AI46" s="20">
        <f t="shared" si="78"/>
        <v>1811.36</v>
      </c>
      <c r="AJ46" s="20">
        <f t="shared" si="78"/>
        <v>1811.36</v>
      </c>
      <c r="AK46" s="20">
        <f t="shared" ref="AK46:AQ46" si="79">1811.37</f>
        <v>1811.37</v>
      </c>
      <c r="AL46" s="20">
        <f t="shared" si="79"/>
        <v>1811.37</v>
      </c>
      <c r="AM46" s="20">
        <f t="shared" si="79"/>
        <v>1811.37</v>
      </c>
      <c r="AN46" s="20">
        <f t="shared" si="79"/>
        <v>1811.37</v>
      </c>
      <c r="AO46" s="20">
        <f t="shared" si="79"/>
        <v>1811.37</v>
      </c>
      <c r="AP46" s="20">
        <f t="shared" si="79"/>
        <v>1811.37</v>
      </c>
      <c r="AQ46" s="20">
        <f t="shared" si="79"/>
        <v>1811.37</v>
      </c>
      <c r="AR46" s="20">
        <f>1811.38</f>
        <v>1811.38</v>
      </c>
      <c r="AS46" s="20">
        <f>1811.38</f>
        <v>1811.38</v>
      </c>
      <c r="AT46" s="20">
        <f>1811.41</f>
        <v>1811.41</v>
      </c>
      <c r="AU46" s="20">
        <f>1811.84</f>
        <v>1811.84</v>
      </c>
      <c r="AV46" s="20">
        <f>1811.84</f>
        <v>1811.84</v>
      </c>
      <c r="AW46" s="21">
        <f>1814.11</f>
        <v>1814.11</v>
      </c>
      <c r="AX46" s="21">
        <f>1815.27</f>
        <v>1815.27</v>
      </c>
      <c r="AY46" s="21">
        <f>1815.42</f>
        <v>1815.42</v>
      </c>
      <c r="AZ46" s="21">
        <v>1817.47</v>
      </c>
      <c r="BA46" s="21">
        <f>1818.63</f>
        <v>1818.63</v>
      </c>
      <c r="BB46" s="21">
        <f>1819.75</f>
        <v>1819.75</v>
      </c>
      <c r="BC46" s="21">
        <f>1820.91</f>
        <v>1820.91</v>
      </c>
      <c r="BD46" s="21">
        <v>1822.03</v>
      </c>
      <c r="BE46" s="21">
        <f>1823.19</f>
        <v>1823.19</v>
      </c>
      <c r="BF46" s="21">
        <v>1824.35</v>
      </c>
      <c r="BG46" s="21">
        <v>1825.36</v>
      </c>
      <c r="BH46" s="21">
        <v>1826.21</v>
      </c>
      <c r="BI46" s="21">
        <v>1826.66</v>
      </c>
      <c r="BJ46" s="21">
        <v>1827.13</v>
      </c>
      <c r="BK46" s="21">
        <v>1827.59</v>
      </c>
      <c r="BL46" s="21">
        <v>1828.02</v>
      </c>
      <c r="BM46" s="21">
        <v>1828.2</v>
      </c>
      <c r="BN46" s="21">
        <v>1828.51</v>
      </c>
      <c r="BO46" s="21">
        <v>1828.9</v>
      </c>
      <c r="BP46" s="21">
        <v>1829.27</v>
      </c>
      <c r="BQ46" s="21">
        <v>1829.66</v>
      </c>
    </row>
    <row r="47" spans="2:70" x14ac:dyDescent="0.5">
      <c r="B47" s="17">
        <v>504</v>
      </c>
      <c r="C47" s="18" t="s">
        <v>49</v>
      </c>
      <c r="D47" s="18" t="s">
        <v>43</v>
      </c>
      <c r="E47" s="18" t="s">
        <v>68</v>
      </c>
      <c r="F47" s="19" t="s">
        <v>106</v>
      </c>
      <c r="G47" s="14">
        <v>1619.76</v>
      </c>
      <c r="H47" s="14">
        <v>1620</v>
      </c>
      <c r="I47" s="14">
        <v>1620</v>
      </c>
      <c r="J47" s="14">
        <v>1620</v>
      </c>
      <c r="K47" s="14">
        <v>1620</v>
      </c>
      <c r="L47" s="14">
        <v>1620</v>
      </c>
      <c r="M47" s="14">
        <v>1619.77</v>
      </c>
      <c r="N47" s="14">
        <v>1619.77</v>
      </c>
      <c r="O47" s="14">
        <v>1619.77</v>
      </c>
      <c r="P47" s="14">
        <v>1619.77</v>
      </c>
      <c r="Q47" s="14">
        <v>1619.78</v>
      </c>
      <c r="R47" s="20">
        <v>1619.78</v>
      </c>
      <c r="S47" s="14">
        <v>1619.78</v>
      </c>
      <c r="T47" s="14">
        <v>1619.78</v>
      </c>
      <c r="U47" s="14">
        <v>1619.78</v>
      </c>
      <c r="V47" s="14">
        <v>1619.78</v>
      </c>
      <c r="W47" s="14">
        <v>1619.79</v>
      </c>
      <c r="X47" s="14">
        <v>1619.79</v>
      </c>
      <c r="Y47" s="14">
        <v>1619.79</v>
      </c>
      <c r="Z47" s="14">
        <v>1619.79</v>
      </c>
      <c r="AA47" s="20">
        <f>1619.79</f>
        <v>1619.79</v>
      </c>
      <c r="AB47" s="20">
        <f>1619.79</f>
        <v>1619.79</v>
      </c>
      <c r="AC47" s="20">
        <f>1619.79</f>
        <v>1619.79</v>
      </c>
      <c r="AD47" s="20">
        <f>1619.79</f>
        <v>1619.79</v>
      </c>
      <c r="AE47" s="14">
        <f t="shared" ref="AE47:AK47" si="80">1619.8</f>
        <v>1619.8</v>
      </c>
      <c r="AF47" s="20">
        <f t="shared" si="80"/>
        <v>1619.8</v>
      </c>
      <c r="AG47" s="20">
        <f t="shared" si="80"/>
        <v>1619.8</v>
      </c>
      <c r="AH47" s="20">
        <f t="shared" si="80"/>
        <v>1619.8</v>
      </c>
      <c r="AI47" s="20">
        <f t="shared" si="80"/>
        <v>1619.8</v>
      </c>
      <c r="AJ47" s="20">
        <f t="shared" si="80"/>
        <v>1619.8</v>
      </c>
      <c r="AK47" s="20">
        <f t="shared" si="80"/>
        <v>1619.8</v>
      </c>
      <c r="AL47" s="20">
        <f t="shared" ref="AL47:AR47" si="81">1619.81</f>
        <v>1619.81</v>
      </c>
      <c r="AM47" s="20">
        <f t="shared" si="81"/>
        <v>1619.81</v>
      </c>
      <c r="AN47" s="20">
        <f t="shared" si="81"/>
        <v>1619.81</v>
      </c>
      <c r="AO47" s="20">
        <f t="shared" si="81"/>
        <v>1619.81</v>
      </c>
      <c r="AP47" s="20">
        <f t="shared" si="81"/>
        <v>1619.81</v>
      </c>
      <c r="AQ47" s="20">
        <f t="shared" si="81"/>
        <v>1619.81</v>
      </c>
      <c r="AR47" s="20">
        <f t="shared" si="81"/>
        <v>1619.81</v>
      </c>
      <c r="AS47" s="20">
        <f>1619.82</f>
        <v>1619.82</v>
      </c>
      <c r="AT47" s="20">
        <f>1619.84</f>
        <v>1619.84</v>
      </c>
      <c r="AU47" s="20">
        <f>1620.23</f>
        <v>1620.23</v>
      </c>
      <c r="AV47" s="20">
        <f>1620.23</f>
        <v>1620.23</v>
      </c>
      <c r="AW47" s="21">
        <f>1622.26</f>
        <v>1622.26</v>
      </c>
      <c r="AX47" s="21">
        <f>1623.29</f>
        <v>1623.29</v>
      </c>
      <c r="AY47" s="21">
        <f>1624.33</f>
        <v>1624.33</v>
      </c>
      <c r="AZ47" s="21">
        <f>1625.26</f>
        <v>1625.26</v>
      </c>
      <c r="BA47" s="21">
        <f>1626.3</f>
        <v>1626.3</v>
      </c>
      <c r="BB47" s="21">
        <f>1627.3</f>
        <v>1627.3</v>
      </c>
      <c r="BC47" s="21">
        <f>1628.34</f>
        <v>1628.34</v>
      </c>
      <c r="BD47" s="21">
        <v>1629.34</v>
      </c>
      <c r="BE47" s="21">
        <f>1630.38</f>
        <v>1630.38</v>
      </c>
      <c r="BF47" s="21">
        <v>1631.42</v>
      </c>
      <c r="BG47" s="21">
        <v>1632.32</v>
      </c>
      <c r="BH47" s="21">
        <v>1633.08</v>
      </c>
      <c r="BI47" s="21">
        <v>1633.48</v>
      </c>
      <c r="BJ47" s="21">
        <v>1633.9</v>
      </c>
      <c r="BK47" s="21">
        <v>1634.31</v>
      </c>
      <c r="BL47" s="21">
        <v>1634.31</v>
      </c>
      <c r="BM47" s="21">
        <v>1634.86</v>
      </c>
      <c r="BN47" s="21">
        <v>1635.14</v>
      </c>
      <c r="BO47" s="21">
        <v>1635.48</v>
      </c>
      <c r="BP47" s="21">
        <v>1635.82</v>
      </c>
      <c r="BQ47" s="21">
        <v>1636.16</v>
      </c>
    </row>
    <row r="48" spans="2:70" x14ac:dyDescent="0.5">
      <c r="B48" s="17">
        <v>505</v>
      </c>
      <c r="C48" s="18" t="s">
        <v>50</v>
      </c>
      <c r="D48" s="18" t="s">
        <v>43</v>
      </c>
      <c r="E48" s="18" t="s">
        <v>69</v>
      </c>
      <c r="F48" s="19" t="s">
        <v>105</v>
      </c>
      <c r="G48" s="14">
        <v>11241.78</v>
      </c>
      <c r="H48" s="14">
        <v>11242</v>
      </c>
      <c r="I48" s="14">
        <v>11242</v>
      </c>
      <c r="J48" s="14">
        <v>11242</v>
      </c>
      <c r="K48" s="14">
        <v>11242</v>
      </c>
      <c r="L48" s="14">
        <v>11242</v>
      </c>
      <c r="M48" s="14">
        <v>11241.84</v>
      </c>
      <c r="N48" s="14">
        <v>11241.85</v>
      </c>
      <c r="O48" s="14">
        <v>11241.85</v>
      </c>
      <c r="P48" s="14">
        <v>11241.85</v>
      </c>
      <c r="Q48" s="14">
        <v>11241.87</v>
      </c>
      <c r="R48" s="20">
        <v>11241.87</v>
      </c>
      <c r="S48" s="14">
        <v>11241.9</v>
      </c>
      <c r="T48" s="14">
        <v>11241.9</v>
      </c>
      <c r="U48" s="14">
        <v>11241.9</v>
      </c>
      <c r="V48" s="14">
        <v>11241.9</v>
      </c>
      <c r="W48" s="14">
        <v>11241.93</v>
      </c>
      <c r="X48" s="14">
        <v>11241.94</v>
      </c>
      <c r="Y48" s="14">
        <v>11241.95</v>
      </c>
      <c r="Z48" s="14">
        <v>11241.96</v>
      </c>
      <c r="AA48" s="20">
        <f>11241.97</f>
        <v>11241.97</v>
      </c>
      <c r="AB48" s="20">
        <f>11241.98</f>
        <v>11241.98</v>
      </c>
      <c r="AC48" s="20">
        <f>11241.99</f>
        <v>11241.99</v>
      </c>
      <c r="AD48" s="20">
        <f>11242</f>
        <v>11242</v>
      </c>
      <c r="AE48" s="14">
        <f>11242.01</f>
        <v>11242.01</v>
      </c>
      <c r="AF48" s="20">
        <f>11242.02</f>
        <v>11242.02</v>
      </c>
      <c r="AG48" s="20">
        <f>11242.03</f>
        <v>11242.03</v>
      </c>
      <c r="AH48" s="20">
        <f>11242.04</f>
        <v>11242.04</v>
      </c>
      <c r="AI48" s="20">
        <f>11242.04</f>
        <v>11242.04</v>
      </c>
      <c r="AJ48" s="20">
        <f>11242.05</f>
        <v>11242.05</v>
      </c>
      <c r="AK48" s="20">
        <f>11242.06</f>
        <v>11242.06</v>
      </c>
      <c r="AL48" s="20">
        <f>11242.07</f>
        <v>11242.07</v>
      </c>
      <c r="AM48" s="20">
        <f>11242.08</f>
        <v>11242.08</v>
      </c>
      <c r="AN48" s="20">
        <f>11242.09</f>
        <v>11242.09</v>
      </c>
      <c r="AO48" s="20">
        <f>11242.1</f>
        <v>11242.1</v>
      </c>
      <c r="AP48" s="20">
        <f>11242.11</f>
        <v>11242.11</v>
      </c>
      <c r="AQ48" s="20">
        <f>11242.12</f>
        <v>11242.12</v>
      </c>
      <c r="AR48" s="20">
        <f>11242.13</f>
        <v>11242.13</v>
      </c>
      <c r="AS48" s="20">
        <f>11242.14</f>
        <v>11242.14</v>
      </c>
      <c r="AT48" s="20">
        <f>11242.33</f>
        <v>11242.33</v>
      </c>
      <c r="AU48" s="20">
        <f>11244.99</f>
        <v>11244.99</v>
      </c>
      <c r="AV48" s="20">
        <f>11244.99</f>
        <v>11244.99</v>
      </c>
      <c r="AW48" s="21">
        <f>11259.09</f>
        <v>11259.09</v>
      </c>
      <c r="AX48" s="21">
        <f>11266.27</f>
        <v>11266.27</v>
      </c>
      <c r="AY48" s="21">
        <f>11273.44</f>
        <v>11273.44</v>
      </c>
      <c r="AZ48" s="21">
        <f>11279.93</f>
        <v>11279.93</v>
      </c>
      <c r="BA48" s="21">
        <f>11287.12</f>
        <v>11287.12</v>
      </c>
      <c r="BB48" s="21">
        <f>11294.08</f>
        <v>11294.08</v>
      </c>
      <c r="BC48" s="21">
        <f>11301.28</f>
        <v>11301.28</v>
      </c>
      <c r="BD48" s="21">
        <f>11308.24</f>
        <v>11308.24</v>
      </c>
      <c r="BE48" s="21">
        <f>11315.45</f>
        <v>11315.45</v>
      </c>
      <c r="BF48" s="21">
        <v>11322.66</v>
      </c>
      <c r="BG48" s="21">
        <v>11328.9</v>
      </c>
      <c r="BH48" s="21">
        <v>11334.19</v>
      </c>
      <c r="BI48" s="21">
        <v>11336.98</v>
      </c>
      <c r="BJ48" s="21">
        <v>11339.87</v>
      </c>
      <c r="BK48" s="21">
        <f>11342.76</f>
        <v>11342.76</v>
      </c>
      <c r="BL48" s="21">
        <v>11345.45</v>
      </c>
      <c r="BM48" s="21">
        <v>11346.52</v>
      </c>
      <c r="BN48" s="21">
        <f>11348.48</f>
        <v>11348.48</v>
      </c>
      <c r="BO48" s="21">
        <v>11350.88</v>
      </c>
      <c r="BP48" s="21">
        <v>11353.21</v>
      </c>
      <c r="BQ48" s="21">
        <v>11355.61</v>
      </c>
    </row>
    <row r="49" spans="2:70" x14ac:dyDescent="0.5">
      <c r="B49" s="17">
        <v>506</v>
      </c>
      <c r="C49" s="18" t="s">
        <v>51</v>
      </c>
      <c r="D49" s="18" t="s">
        <v>43</v>
      </c>
      <c r="E49" s="18" t="s">
        <v>89</v>
      </c>
      <c r="F49" s="19" t="s">
        <v>107</v>
      </c>
      <c r="G49" s="14">
        <v>628.41999999999996</v>
      </c>
      <c r="H49" s="14">
        <v>628</v>
      </c>
      <c r="I49" s="14">
        <v>628</v>
      </c>
      <c r="J49" s="14">
        <v>628</v>
      </c>
      <c r="K49" s="14">
        <v>628</v>
      </c>
      <c r="L49" s="14">
        <v>628</v>
      </c>
      <c r="M49" s="14">
        <v>628.41999999999996</v>
      </c>
      <c r="N49" s="14">
        <v>628.41999999999996</v>
      </c>
      <c r="O49" s="14">
        <v>628.41999999999996</v>
      </c>
      <c r="P49" s="14">
        <v>628.41999999999996</v>
      </c>
      <c r="Q49" s="14">
        <v>628.41999999999996</v>
      </c>
      <c r="R49" s="20">
        <v>628.41999999999996</v>
      </c>
      <c r="S49" s="14">
        <v>628.41999999999996</v>
      </c>
      <c r="T49" s="14">
        <v>628.41999999999996</v>
      </c>
      <c r="U49" s="14">
        <v>628.42999999999995</v>
      </c>
      <c r="V49" s="14">
        <v>628.42999999999995</v>
      </c>
      <c r="W49" s="14">
        <v>628.42999999999995</v>
      </c>
      <c r="X49" s="14">
        <v>628.42999999999995</v>
      </c>
      <c r="Y49" s="14">
        <v>628.42999999999995</v>
      </c>
      <c r="Z49" s="14">
        <v>628.42999999999995</v>
      </c>
      <c r="AA49" s="20">
        <f t="shared" ref="AA49:AF49" si="82">628.43</f>
        <v>628.42999999999995</v>
      </c>
      <c r="AB49" s="20">
        <f t="shared" si="82"/>
        <v>628.42999999999995</v>
      </c>
      <c r="AC49" s="20">
        <f t="shared" si="82"/>
        <v>628.42999999999995</v>
      </c>
      <c r="AD49" s="20">
        <f t="shared" si="82"/>
        <v>628.42999999999995</v>
      </c>
      <c r="AE49" s="14">
        <f t="shared" si="82"/>
        <v>628.42999999999995</v>
      </c>
      <c r="AF49" s="20">
        <f t="shared" si="82"/>
        <v>628.42999999999995</v>
      </c>
      <c r="AG49" s="20">
        <f t="shared" ref="AG49:AL49" si="83">628.43</f>
        <v>628.42999999999995</v>
      </c>
      <c r="AH49" s="20">
        <f t="shared" si="83"/>
        <v>628.42999999999995</v>
      </c>
      <c r="AI49" s="20">
        <f t="shared" si="83"/>
        <v>628.42999999999995</v>
      </c>
      <c r="AJ49" s="20">
        <f t="shared" si="83"/>
        <v>628.42999999999995</v>
      </c>
      <c r="AK49" s="20">
        <f t="shared" si="83"/>
        <v>628.42999999999995</v>
      </c>
      <c r="AL49" s="20">
        <f t="shared" si="83"/>
        <v>628.42999999999995</v>
      </c>
      <c r="AM49" s="20">
        <f t="shared" ref="AM49:AS49" si="84">628.44</f>
        <v>628.44000000000005</v>
      </c>
      <c r="AN49" s="20">
        <f t="shared" si="84"/>
        <v>628.44000000000005</v>
      </c>
      <c r="AO49" s="20">
        <f t="shared" si="84"/>
        <v>628.44000000000005</v>
      </c>
      <c r="AP49" s="20">
        <f t="shared" si="84"/>
        <v>628.44000000000005</v>
      </c>
      <c r="AQ49" s="20">
        <f t="shared" si="84"/>
        <v>628.44000000000005</v>
      </c>
      <c r="AR49" s="20">
        <f t="shared" si="84"/>
        <v>628.44000000000005</v>
      </c>
      <c r="AS49" s="20">
        <f t="shared" si="84"/>
        <v>628.44000000000005</v>
      </c>
      <c r="AT49" s="20">
        <f>628.45</f>
        <v>628.45000000000005</v>
      </c>
      <c r="AU49" s="20">
        <f>628.6</f>
        <v>628.6</v>
      </c>
      <c r="AV49" s="20">
        <f>628.6</f>
        <v>628.6</v>
      </c>
      <c r="AW49" s="21">
        <f>629.39</f>
        <v>629.39</v>
      </c>
      <c r="AX49" s="21">
        <f>629.79</f>
        <v>629.79</v>
      </c>
      <c r="AY49" s="21">
        <f>630.19</f>
        <v>630.19000000000005</v>
      </c>
      <c r="AZ49" s="21">
        <f>630.55</f>
        <v>630.54999999999995</v>
      </c>
      <c r="BA49" s="21">
        <f>630.95</f>
        <v>630.95000000000005</v>
      </c>
      <c r="BB49" s="21">
        <f>631.34</f>
        <v>631.34</v>
      </c>
      <c r="BC49" s="21">
        <f>631.74</f>
        <v>631.74</v>
      </c>
      <c r="BD49" s="21">
        <v>632.13</v>
      </c>
      <c r="BE49" s="21">
        <v>632.54</v>
      </c>
      <c r="BF49" s="21">
        <v>9.56</v>
      </c>
      <c r="BG49" s="21">
        <v>633.29</v>
      </c>
      <c r="BH49" s="21">
        <v>633.58000000000004</v>
      </c>
      <c r="BI49" s="21">
        <v>633.74</v>
      </c>
      <c r="BJ49" s="21">
        <v>633.9</v>
      </c>
      <c r="BK49" s="21">
        <f>634.06</f>
        <v>634.05999999999995</v>
      </c>
      <c r="BL49" s="21">
        <f>634.06</f>
        <v>634.05999999999995</v>
      </c>
      <c r="BM49" s="21">
        <f>634.27</f>
        <v>634.27</v>
      </c>
      <c r="BN49" s="21">
        <v>634.38</v>
      </c>
      <c r="BO49" s="21">
        <v>634.52</v>
      </c>
      <c r="BP49" s="21">
        <v>634.65</v>
      </c>
      <c r="BQ49" s="21">
        <v>634.78</v>
      </c>
    </row>
    <row r="50" spans="2:70" x14ac:dyDescent="0.5">
      <c r="B50" s="17">
        <v>507</v>
      </c>
      <c r="C50" s="18" t="s">
        <v>52</v>
      </c>
      <c r="D50" s="18" t="s">
        <v>43</v>
      </c>
      <c r="E50" s="18" t="s">
        <v>70</v>
      </c>
      <c r="F50" s="19" t="s">
        <v>108</v>
      </c>
      <c r="G50" s="14">
        <v>28087.49</v>
      </c>
      <c r="H50" s="14">
        <v>28087</v>
      </c>
      <c r="I50" s="14">
        <v>28087</v>
      </c>
      <c r="J50" s="14">
        <v>28087</v>
      </c>
      <c r="K50" s="14">
        <v>28087</v>
      </c>
      <c r="L50" s="14">
        <v>28087</v>
      </c>
      <c r="M50" s="14">
        <v>28087.63</v>
      </c>
      <c r="N50" s="14">
        <v>28087.65</v>
      </c>
      <c r="O50" s="14">
        <v>28087.68</v>
      </c>
      <c r="P50" s="14">
        <v>28087.68</v>
      </c>
      <c r="Q50" s="14">
        <v>28087.7</v>
      </c>
      <c r="R50" s="20">
        <v>28087.75</v>
      </c>
      <c r="S50" s="14">
        <v>28087.77</v>
      </c>
      <c r="T50" s="14">
        <v>28087.77</v>
      </c>
      <c r="U50" s="14">
        <v>28087.82</v>
      </c>
      <c r="V50" s="14">
        <v>28087.82</v>
      </c>
      <c r="W50" s="14">
        <v>28087.86</v>
      </c>
      <c r="X50" s="14">
        <v>28087.89</v>
      </c>
      <c r="Y50" s="14">
        <v>28087.91</v>
      </c>
      <c r="Z50" s="14">
        <v>28087.93</v>
      </c>
      <c r="AA50" s="20">
        <f>28087.96</f>
        <v>28087.96</v>
      </c>
      <c r="AB50" s="20">
        <f>28087.98</f>
        <v>28087.98</v>
      </c>
      <c r="AC50" s="20">
        <f>28088</f>
        <v>28088</v>
      </c>
      <c r="AD50" s="20">
        <f>28088.03</f>
        <v>28088.03</v>
      </c>
      <c r="AE50" s="14">
        <f>28088.05</f>
        <v>28088.05</v>
      </c>
      <c r="AF50" s="20">
        <f>28088.07</f>
        <v>28088.07</v>
      </c>
      <c r="AG50" s="20">
        <f>28088.1</f>
        <v>28088.1</v>
      </c>
      <c r="AH50" s="20">
        <f>28088.12</f>
        <v>28088.12</v>
      </c>
      <c r="AI50" s="20">
        <f>28088.14</f>
        <v>28088.14</v>
      </c>
      <c r="AJ50" s="20">
        <f>28088.17</f>
        <v>28088.17</v>
      </c>
      <c r="AK50" s="20">
        <f>28088.19</f>
        <v>28088.19</v>
      </c>
      <c r="AL50" s="20">
        <f>28088.21</f>
        <v>28088.21</v>
      </c>
      <c r="AM50" s="20">
        <f>28088.24</f>
        <v>28088.240000000002</v>
      </c>
      <c r="AN50" s="20">
        <f>28088.26</f>
        <v>28088.26</v>
      </c>
      <c r="AO50" s="20">
        <f>28088.28</f>
        <v>28088.28</v>
      </c>
      <c r="AP50" s="20">
        <f>28088.31</f>
        <v>28088.31</v>
      </c>
      <c r="AQ50" s="20">
        <f>28088.33</f>
        <v>28088.33</v>
      </c>
      <c r="AR50" s="20">
        <f>28088.35</f>
        <v>28088.35</v>
      </c>
      <c r="AS50" s="20">
        <f>28088.38</f>
        <v>28088.38</v>
      </c>
      <c r="AT50" s="20">
        <f>28088.85</f>
        <v>28088.85</v>
      </c>
      <c r="AU50" s="20">
        <f>28095.5</f>
        <v>28095.5</v>
      </c>
      <c r="AV50" s="20">
        <f>28095.5</f>
        <v>28095.5</v>
      </c>
      <c r="AW50" s="21">
        <f>28130.73</f>
        <v>28130.73</v>
      </c>
      <c r="AX50" s="21">
        <f>28148.66</f>
        <v>28148.66</v>
      </c>
      <c r="AY50" s="21">
        <f>28166.59</f>
        <v>28166.59</v>
      </c>
      <c r="AZ50" s="21">
        <f>28182.8</f>
        <v>28182.799999999999</v>
      </c>
      <c r="BA50" s="21">
        <f>28200.76</f>
        <v>28200.76</v>
      </c>
      <c r="BB50" s="21">
        <f>28218.15</f>
        <v>28218.15</v>
      </c>
      <c r="BC50" s="21">
        <f>28236.13</f>
        <v>28236.13</v>
      </c>
      <c r="BD50" s="21">
        <v>28253.54</v>
      </c>
      <c r="BE50" s="21">
        <f>28271.54</f>
        <v>28271.54</v>
      </c>
      <c r="BF50" s="21">
        <v>28289.56</v>
      </c>
      <c r="BG50" s="21">
        <v>28305.14</v>
      </c>
      <c r="BH50" s="21">
        <v>28318.37</v>
      </c>
      <c r="BI50" s="21">
        <v>28325.35</v>
      </c>
      <c r="BJ50" s="21">
        <v>28332.57</v>
      </c>
      <c r="BK50" s="21">
        <f>28339.77</f>
        <v>28339.77</v>
      </c>
      <c r="BL50" s="21">
        <f>28339.77</f>
        <v>28339.77</v>
      </c>
      <c r="BM50" s="21">
        <v>28349.18</v>
      </c>
      <c r="BN50" s="21">
        <f>28354.07</f>
        <v>28354.07</v>
      </c>
      <c r="BO50" s="21">
        <v>28360.07</v>
      </c>
      <c r="BP50" s="21">
        <v>28365.88</v>
      </c>
      <c r="BQ50" s="21">
        <v>28371.89</v>
      </c>
    </row>
    <row r="51" spans="2:70" ht="36" thickBot="1" x14ac:dyDescent="0.55000000000000004">
      <c r="B51" s="55"/>
      <c r="C51" s="56"/>
      <c r="D51" s="56"/>
      <c r="E51" s="56"/>
      <c r="F51" s="11" t="s">
        <v>62</v>
      </c>
      <c r="G51" s="29">
        <f t="shared" ref="G51:AN51" si="85">SUM(G18:G50)</f>
        <v>20983226.129999999</v>
      </c>
      <c r="H51" s="29">
        <f t="shared" si="85"/>
        <v>20910740.199999996</v>
      </c>
      <c r="I51" s="29">
        <f t="shared" si="85"/>
        <v>19178464.75</v>
      </c>
      <c r="J51" s="29">
        <f t="shared" si="85"/>
        <v>19542308</v>
      </c>
      <c r="K51" s="29">
        <f t="shared" si="85"/>
        <v>20049188.390000004</v>
      </c>
      <c r="L51" s="29">
        <f t="shared" si="85"/>
        <v>20154268.600000001</v>
      </c>
      <c r="M51" s="29">
        <f t="shared" si="85"/>
        <v>22454824.609999999</v>
      </c>
      <c r="N51" s="29">
        <f t="shared" si="85"/>
        <v>23869129.549999997</v>
      </c>
      <c r="O51" s="29">
        <f t="shared" si="85"/>
        <v>23925532.470000006</v>
      </c>
      <c r="P51" s="29">
        <f t="shared" si="85"/>
        <v>24514387.400000006</v>
      </c>
      <c r="Q51" s="29">
        <f t="shared" si="85"/>
        <v>24587580.370000005</v>
      </c>
      <c r="R51" s="57">
        <f t="shared" si="85"/>
        <v>23800661.320000004</v>
      </c>
      <c r="S51" s="29">
        <f t="shared" si="85"/>
        <v>27525017.389999997</v>
      </c>
      <c r="T51" s="29">
        <f t="shared" si="85"/>
        <v>30940652.610000003</v>
      </c>
      <c r="U51" s="29">
        <f t="shared" si="85"/>
        <v>30013189.990000002</v>
      </c>
      <c r="V51" s="29">
        <f t="shared" si="85"/>
        <v>32539413.810000002</v>
      </c>
      <c r="W51" s="29">
        <f t="shared" si="85"/>
        <v>33141207.41</v>
      </c>
      <c r="X51" s="29">
        <f t="shared" si="85"/>
        <v>34661222.75</v>
      </c>
      <c r="Y51" s="29">
        <f t="shared" si="85"/>
        <v>35755823.700000003</v>
      </c>
      <c r="Z51" s="29">
        <f t="shared" si="85"/>
        <v>32046211.520000003</v>
      </c>
      <c r="AA51" s="57">
        <f t="shared" si="85"/>
        <v>33994789.280000009</v>
      </c>
      <c r="AB51" s="57">
        <f t="shared" si="85"/>
        <v>34103670.679999992</v>
      </c>
      <c r="AC51" s="57">
        <f t="shared" si="85"/>
        <v>33236300.890000004</v>
      </c>
      <c r="AD51" s="57">
        <f t="shared" si="85"/>
        <v>33293052.710000001</v>
      </c>
      <c r="AE51" s="57">
        <f t="shared" si="85"/>
        <v>33340730.060000002</v>
      </c>
      <c r="AF51" s="57">
        <f t="shared" si="85"/>
        <v>32650080.109999999</v>
      </c>
      <c r="AG51" s="57">
        <f t="shared" si="85"/>
        <v>31135742.320000004</v>
      </c>
      <c r="AH51" s="57">
        <f t="shared" si="85"/>
        <v>31399243.860000003</v>
      </c>
      <c r="AI51" s="57">
        <f t="shared" si="85"/>
        <v>32207601.38000001</v>
      </c>
      <c r="AJ51" s="57">
        <f t="shared" si="85"/>
        <v>33411878.920000002</v>
      </c>
      <c r="AK51" s="57">
        <f t="shared" si="85"/>
        <v>34025175.349999994</v>
      </c>
      <c r="AL51" s="57">
        <f t="shared" si="85"/>
        <v>31668372.380000006</v>
      </c>
      <c r="AM51" s="57">
        <f t="shared" si="85"/>
        <v>34778224.140000001</v>
      </c>
      <c r="AN51" s="57">
        <f t="shared" si="85"/>
        <v>35497570.25</v>
      </c>
      <c r="AO51" s="57">
        <f t="shared" ref="AO51:AT51" si="86">SUM(AO18:AO50)</f>
        <v>35950163.469999999</v>
      </c>
      <c r="AP51" s="57">
        <f t="shared" si="86"/>
        <v>36324294.530000001</v>
      </c>
      <c r="AQ51" s="57">
        <f t="shared" si="86"/>
        <v>37693453.359999992</v>
      </c>
      <c r="AR51" s="57">
        <f t="shared" si="86"/>
        <v>38885469.990000002</v>
      </c>
      <c r="AS51" s="57">
        <f t="shared" si="86"/>
        <v>33899051.299999997</v>
      </c>
      <c r="AT51" s="57">
        <f t="shared" si="86"/>
        <v>32558284.500000004</v>
      </c>
      <c r="AU51" s="57">
        <f t="shared" ref="AU51:AV51" si="87">SUM(AU18:AU50)</f>
        <v>37184759.460000008</v>
      </c>
      <c r="AV51" s="57">
        <f t="shared" si="87"/>
        <v>40431509.600000001</v>
      </c>
      <c r="AW51" s="58">
        <f t="shared" ref="AW51:BB51" si="88">SUM(AW18:AW50)</f>
        <v>39835960.359999999</v>
      </c>
      <c r="AX51" s="58">
        <f t="shared" si="88"/>
        <v>39822664.060000017</v>
      </c>
      <c r="AY51" s="58">
        <f t="shared" si="88"/>
        <v>41371454.450000003</v>
      </c>
      <c r="AZ51" s="58">
        <f t="shared" si="88"/>
        <v>42033131.039999992</v>
      </c>
      <c r="BA51" s="58">
        <f t="shared" si="88"/>
        <v>39723208.329999991</v>
      </c>
      <c r="BB51" s="58">
        <f t="shared" si="88"/>
        <v>41115010.29999999</v>
      </c>
      <c r="BC51" s="58">
        <f t="shared" ref="BC51" si="89">SUM(BC18:BC50)</f>
        <v>40485419.090000011</v>
      </c>
      <c r="BD51" s="58">
        <f t="shared" ref="BD51" si="90">SUM(BD18:BD50)</f>
        <v>41623792.160000011</v>
      </c>
      <c r="BE51" s="58">
        <f t="shared" ref="BE51" si="91">SUM(BE18:BE50)</f>
        <v>38372468.730000004</v>
      </c>
      <c r="BF51" s="58">
        <f t="shared" ref="BF51" si="92">SUM(BF18:BF50)</f>
        <v>38746076.830000006</v>
      </c>
      <c r="BG51" s="58">
        <f t="shared" ref="BG51" si="93">SUM(BG18:BG50)</f>
        <v>38969751.980000004</v>
      </c>
      <c r="BH51" s="58">
        <f t="shared" ref="BH51" si="94">SUM(BH18:BH50)</f>
        <v>41618759.889999993</v>
      </c>
      <c r="BI51" s="58">
        <f t="shared" ref="BI51" si="95">SUM(BI18:BI50)</f>
        <v>38673781.849999987</v>
      </c>
      <c r="BJ51" s="58">
        <f t="shared" ref="BJ51" si="96">SUM(BJ18:BJ50)</f>
        <v>36956826.169999994</v>
      </c>
      <c r="BK51" s="58">
        <f t="shared" ref="BK51:BL51" si="97">SUM(BK18:BK50)</f>
        <v>35710615.170000017</v>
      </c>
      <c r="BL51" s="58">
        <f t="shared" si="97"/>
        <v>38429057.210000008</v>
      </c>
      <c r="BM51" s="58">
        <f t="shared" ref="BM51:BN51" si="98">SUM(BM18:BM50)</f>
        <v>40441266.730000012</v>
      </c>
      <c r="BN51" s="58">
        <f t="shared" si="98"/>
        <v>40307178.440000005</v>
      </c>
      <c r="BO51" s="58">
        <f t="shared" ref="BO51" si="99">SUM(BO18:BO50)</f>
        <v>49877165.059999995</v>
      </c>
      <c r="BP51" s="58">
        <f t="shared" ref="BP51" si="100">SUM(BP18:BP50)</f>
        <v>48654848.879999995</v>
      </c>
      <c r="BQ51" s="58">
        <f t="shared" ref="BQ51" si="101">SUM(BQ18:BQ50)</f>
        <v>43781909.959999993</v>
      </c>
    </row>
    <row r="52" spans="2:70" ht="36.75" thickTop="1" thickBot="1" x14ac:dyDescent="0.55000000000000004">
      <c r="B52" s="55"/>
      <c r="C52" s="56"/>
      <c r="D52" s="56"/>
      <c r="E52" s="56"/>
      <c r="F52" s="5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57"/>
      <c r="S52" s="29"/>
      <c r="T52" s="29"/>
      <c r="U52" s="29"/>
      <c r="V52" s="29"/>
      <c r="W52" s="29"/>
      <c r="X52" s="29"/>
      <c r="Y52" s="29"/>
      <c r="Z52" s="29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</row>
    <row r="53" spans="2:70" ht="36.75" thickTop="1" thickBot="1" x14ac:dyDescent="0.55000000000000004">
      <c r="B53" s="2" t="s">
        <v>0</v>
      </c>
      <c r="C53" s="60"/>
      <c r="D53" s="60"/>
      <c r="E53" s="60"/>
      <c r="F53" s="59" t="s">
        <v>53</v>
      </c>
      <c r="G53" s="29">
        <f t="shared" ref="G53:AW53" si="102">G8+G51</f>
        <v>36740677.629999995</v>
      </c>
      <c r="H53" s="29">
        <f t="shared" si="102"/>
        <v>36611042.859999999</v>
      </c>
      <c r="I53" s="29">
        <f t="shared" si="102"/>
        <v>31809145.75</v>
      </c>
      <c r="J53" s="29">
        <f t="shared" si="102"/>
        <v>33278397</v>
      </c>
      <c r="K53" s="29">
        <f t="shared" si="102"/>
        <v>32777492.840000004</v>
      </c>
      <c r="L53" s="29">
        <f t="shared" si="102"/>
        <v>33538596.970000003</v>
      </c>
      <c r="M53" s="29">
        <f t="shared" si="102"/>
        <v>31322002.350000001</v>
      </c>
      <c r="N53" s="29">
        <f t="shared" si="102"/>
        <v>32088557.119999997</v>
      </c>
      <c r="O53" s="29">
        <f t="shared" si="102"/>
        <v>30895679.640000008</v>
      </c>
      <c r="P53" s="29">
        <f t="shared" si="102"/>
        <v>29487460.720000006</v>
      </c>
      <c r="Q53" s="29">
        <f t="shared" si="102"/>
        <v>30872917.590000004</v>
      </c>
      <c r="R53" s="57">
        <f t="shared" si="102"/>
        <v>28130550.050000004</v>
      </c>
      <c r="S53" s="29">
        <f t="shared" si="102"/>
        <v>34117422.549999997</v>
      </c>
      <c r="T53" s="29">
        <f t="shared" si="102"/>
        <v>50037253.230000004</v>
      </c>
      <c r="U53" s="29">
        <f t="shared" si="102"/>
        <v>47092918.409999996</v>
      </c>
      <c r="V53" s="29">
        <f t="shared" si="102"/>
        <v>49263247.270000003</v>
      </c>
      <c r="W53" s="29">
        <f t="shared" si="102"/>
        <v>46467498.789999999</v>
      </c>
      <c r="X53" s="29">
        <f t="shared" si="102"/>
        <v>50173639.420000002</v>
      </c>
      <c r="Y53" s="29">
        <f t="shared" si="102"/>
        <v>65792700.660000004</v>
      </c>
      <c r="Z53" s="29">
        <f t="shared" si="102"/>
        <v>45868123.090000004</v>
      </c>
      <c r="AA53" s="57">
        <f t="shared" si="102"/>
        <v>46767362.930000007</v>
      </c>
      <c r="AB53" s="57">
        <f t="shared" si="102"/>
        <v>44978639.349999994</v>
      </c>
      <c r="AC53" s="57">
        <f t="shared" si="102"/>
        <v>42034146.450000003</v>
      </c>
      <c r="AD53" s="57">
        <f t="shared" si="102"/>
        <v>48243221.740000002</v>
      </c>
      <c r="AE53" s="57">
        <f t="shared" si="102"/>
        <v>54483119.630000003</v>
      </c>
      <c r="AF53" s="57">
        <f t="shared" si="102"/>
        <v>60377572.350000001</v>
      </c>
      <c r="AG53" s="57">
        <f t="shared" si="102"/>
        <v>60096625.719999999</v>
      </c>
      <c r="AH53" s="57">
        <f t="shared" si="102"/>
        <v>57759570.230000004</v>
      </c>
      <c r="AI53" s="57">
        <f t="shared" si="102"/>
        <v>53999981.330000013</v>
      </c>
      <c r="AJ53" s="57">
        <f t="shared" si="102"/>
        <v>60299692.32</v>
      </c>
      <c r="AK53" s="57">
        <f t="shared" si="102"/>
        <v>54340860.059999995</v>
      </c>
      <c r="AL53" s="57">
        <f t="shared" si="102"/>
        <v>55341405.670000002</v>
      </c>
      <c r="AM53" s="57">
        <f t="shared" si="102"/>
        <v>55498806.920000002</v>
      </c>
      <c r="AN53" s="57">
        <f t="shared" si="102"/>
        <v>58682535.280000001</v>
      </c>
      <c r="AO53" s="57">
        <f t="shared" si="102"/>
        <v>53814987.5</v>
      </c>
      <c r="AP53" s="57">
        <f t="shared" si="102"/>
        <v>55744698.760000005</v>
      </c>
      <c r="AQ53" s="57">
        <f t="shared" si="102"/>
        <v>75779860.879999995</v>
      </c>
      <c r="AR53" s="57">
        <f t="shared" si="102"/>
        <v>81281025.539999992</v>
      </c>
      <c r="AS53" s="57">
        <f t="shared" si="102"/>
        <v>77901047.789999992</v>
      </c>
      <c r="AT53" s="57">
        <f t="shared" si="102"/>
        <v>76948317.790000007</v>
      </c>
      <c r="AU53" s="57">
        <f t="shared" si="102"/>
        <v>75929393.25</v>
      </c>
      <c r="AV53" s="57">
        <f t="shared" si="102"/>
        <v>83739431.789999992</v>
      </c>
      <c r="AW53" s="57">
        <f t="shared" si="102"/>
        <v>76807161.549999997</v>
      </c>
      <c r="AX53" s="57">
        <f t="shared" ref="AX53" si="103">AX8+AX51</f>
        <v>71946648.87000002</v>
      </c>
      <c r="AY53" s="57">
        <f t="shared" ref="AY53" si="104">AY8+AY51</f>
        <v>69234708.260000005</v>
      </c>
      <c r="AZ53" s="57">
        <f t="shared" ref="AZ53" si="105">AZ8+AZ51</f>
        <v>73064361.679999992</v>
      </c>
      <c r="BA53" s="57">
        <f t="shared" ref="BA53" si="106">BA8+BA51</f>
        <v>70079708.189999998</v>
      </c>
      <c r="BB53" s="57">
        <f t="shared" ref="BB53" si="107">BB8+BB51</f>
        <v>71715656.219999984</v>
      </c>
      <c r="BC53" s="57">
        <f t="shared" ref="BC53" si="108">BC8+BC51</f>
        <v>72145340.570000008</v>
      </c>
      <c r="BD53" s="57">
        <f t="shared" ref="BD53" si="109">BD8+BD51</f>
        <v>84475444.800000012</v>
      </c>
      <c r="BE53" s="57">
        <f t="shared" ref="BE53" si="110">BE8+BE51</f>
        <v>76240161.900000006</v>
      </c>
      <c r="BF53" s="57">
        <f t="shared" ref="BF53" si="111">BF8+BF51</f>
        <v>79792932.599999994</v>
      </c>
      <c r="BG53" s="57">
        <f t="shared" ref="BG53" si="112">BG8+BG51</f>
        <v>80131525.379999995</v>
      </c>
      <c r="BH53" s="57">
        <f t="shared" ref="BH53" si="113">BH8+BH51</f>
        <v>89959374.139999986</v>
      </c>
      <c r="BI53" s="57">
        <f t="shared" ref="BI53" si="114">BI8+BI51</f>
        <v>78097037.859999985</v>
      </c>
      <c r="BJ53" s="57">
        <f t="shared" ref="BJ53" si="115">BJ8+BJ51</f>
        <v>86146417.25</v>
      </c>
      <c r="BK53" s="57">
        <f t="shared" ref="BK53:BL53" si="116">BK8+BK51</f>
        <v>78351540.570000023</v>
      </c>
      <c r="BL53" s="57">
        <f t="shared" si="116"/>
        <v>83378421.520000011</v>
      </c>
      <c r="BM53" s="57">
        <f t="shared" ref="BM53:BN53" si="117">BM8+BM51</f>
        <v>80046576.580000013</v>
      </c>
      <c r="BN53" s="57">
        <f t="shared" si="117"/>
        <v>81525555.560000002</v>
      </c>
      <c r="BO53" s="57">
        <f t="shared" ref="BO53" si="118">BO8+BO51</f>
        <v>88418638.549999997</v>
      </c>
      <c r="BP53" s="57">
        <f t="shared" ref="BP53" si="119">BP8+BP51</f>
        <v>91637851.560000002</v>
      </c>
      <c r="BQ53" s="57">
        <f t="shared" ref="BQ53" si="120">BQ8+BQ51</f>
        <v>108850991.64999999</v>
      </c>
    </row>
    <row r="54" spans="2:70" ht="36" thickTop="1" x14ac:dyDescent="0.5">
      <c r="B54" s="2"/>
      <c r="C54" s="60"/>
      <c r="D54" s="60"/>
      <c r="E54" s="60"/>
      <c r="F54" s="61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3"/>
      <c r="S54" s="62"/>
      <c r="T54" s="62"/>
      <c r="U54" s="62"/>
      <c r="V54" s="62"/>
      <c r="W54" s="62"/>
      <c r="X54" s="62"/>
      <c r="Y54" s="62"/>
      <c r="Z54" s="62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70" x14ac:dyDescent="0.5">
      <c r="B55" s="86" t="s">
        <v>132</v>
      </c>
      <c r="C55" s="86"/>
      <c r="D55" s="86"/>
      <c r="E55" s="86"/>
      <c r="F55" s="86"/>
      <c r="G55" s="2"/>
      <c r="H55" s="2"/>
      <c r="I55" s="5"/>
      <c r="J55" s="5"/>
      <c r="K55" s="5"/>
      <c r="L55" s="5"/>
      <c r="M55" s="5"/>
      <c r="N55" s="5"/>
      <c r="O55" s="5"/>
      <c r="P55" s="5"/>
      <c r="Q55" s="5"/>
      <c r="R55" s="64"/>
      <c r="S55" s="5"/>
      <c r="T55" s="5"/>
      <c r="U55" s="5"/>
      <c r="V55" s="5"/>
      <c r="W55" s="5"/>
      <c r="X55" s="5"/>
      <c r="Y55" s="5"/>
      <c r="Z55" s="5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</row>
    <row r="56" spans="2:70" x14ac:dyDescent="0.5">
      <c r="B56" s="66" t="s">
        <v>1</v>
      </c>
      <c r="C56" s="12" t="s">
        <v>54</v>
      </c>
      <c r="D56" s="12" t="s">
        <v>3</v>
      </c>
      <c r="E56" s="12"/>
      <c r="F56" s="11" t="s">
        <v>5</v>
      </c>
      <c r="G56" s="67" t="s">
        <v>6</v>
      </c>
      <c r="H56" s="67" t="s">
        <v>6</v>
      </c>
      <c r="I56" s="68"/>
      <c r="J56" s="68"/>
      <c r="K56" s="68"/>
      <c r="L56" s="68"/>
      <c r="M56" s="68"/>
      <c r="N56" s="68"/>
      <c r="O56" s="68"/>
      <c r="P56" s="68"/>
      <c r="Q56" s="68"/>
      <c r="R56" s="69"/>
      <c r="S56" s="68"/>
      <c r="T56" s="68"/>
      <c r="U56" s="68"/>
      <c r="V56" s="68"/>
      <c r="W56" s="68"/>
      <c r="X56" s="68"/>
      <c r="Y56" s="68"/>
      <c r="Z56" s="68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</row>
    <row r="57" spans="2:70" hidden="1" x14ac:dyDescent="0.5">
      <c r="B57" s="17" t="s">
        <v>22</v>
      </c>
      <c r="C57" s="18" t="s">
        <v>25</v>
      </c>
      <c r="D57" s="18" t="s">
        <v>22</v>
      </c>
      <c r="E57" s="18"/>
      <c r="F57" s="19" t="s">
        <v>55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9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70"/>
      <c r="AX57" s="70"/>
      <c r="AY57" s="70"/>
      <c r="AZ57" s="71"/>
      <c r="BA57" s="70"/>
      <c r="BB57" s="70"/>
      <c r="BC57" s="70"/>
      <c r="BD57" s="70"/>
      <c r="BE57" s="70"/>
      <c r="BF57" s="70"/>
      <c r="BG57" s="70"/>
      <c r="BH57" s="70"/>
      <c r="BI57" s="71"/>
      <c r="BJ57" s="70"/>
      <c r="BK57" s="71"/>
      <c r="BL57" s="70"/>
      <c r="BM57" s="70"/>
      <c r="BN57" s="70"/>
      <c r="BO57" s="71"/>
      <c r="BP57" s="71"/>
      <c r="BQ57" s="70"/>
    </row>
    <row r="58" spans="2:70" x14ac:dyDescent="0.5">
      <c r="B58" s="17"/>
      <c r="C58" s="18"/>
      <c r="D58" s="12" t="s">
        <v>130</v>
      </c>
      <c r="E58" s="18"/>
      <c r="F58" s="11" t="s">
        <v>122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  <c r="S58" s="68"/>
      <c r="T58" s="68"/>
      <c r="U58" s="68"/>
      <c r="V58" s="68"/>
      <c r="W58" s="68"/>
      <c r="X58" s="68"/>
      <c r="Y58" s="68"/>
      <c r="Z58" s="68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>
        <v>0</v>
      </c>
      <c r="AT58" s="69">
        <v>0</v>
      </c>
      <c r="AU58" s="69">
        <v>0</v>
      </c>
      <c r="AV58" s="69">
        <v>66000</v>
      </c>
      <c r="AW58" s="70">
        <v>66000</v>
      </c>
      <c r="AX58" s="70">
        <v>316000</v>
      </c>
      <c r="AY58" s="70">
        <v>316000</v>
      </c>
      <c r="AZ58" s="70">
        <v>316000</v>
      </c>
      <c r="BA58" s="70">
        <v>316000</v>
      </c>
      <c r="BB58" s="70">
        <v>316000</v>
      </c>
      <c r="BC58" s="70">
        <v>674807</v>
      </c>
      <c r="BD58" s="70">
        <v>674807</v>
      </c>
      <c r="BE58" s="70">
        <v>674807</v>
      </c>
      <c r="BF58" s="70">
        <v>674807</v>
      </c>
      <c r="BG58" s="70">
        <f>674807-37500</f>
        <v>637307</v>
      </c>
      <c r="BH58" s="70">
        <v>624807</v>
      </c>
      <c r="BI58" s="70">
        <v>624807</v>
      </c>
      <c r="BJ58" s="70">
        <v>624807</v>
      </c>
      <c r="BK58" s="70">
        <v>612307</v>
      </c>
      <c r="BL58" s="70">
        <v>612307</v>
      </c>
      <c r="BM58" s="70">
        <v>612307</v>
      </c>
      <c r="BN58" s="70">
        <v>599807</v>
      </c>
      <c r="BO58" s="70">
        <v>599807</v>
      </c>
      <c r="BP58" s="70">
        <v>599807</v>
      </c>
      <c r="BQ58" s="70">
        <v>599807</v>
      </c>
    </row>
    <row r="59" spans="2:70" x14ac:dyDescent="0.5">
      <c r="B59" s="17" t="s">
        <v>17</v>
      </c>
      <c r="C59" s="18" t="s">
        <v>56</v>
      </c>
      <c r="D59" s="18" t="s">
        <v>19</v>
      </c>
      <c r="E59" s="18"/>
      <c r="F59" s="19" t="s">
        <v>123</v>
      </c>
      <c r="G59" s="68">
        <v>1623313.35</v>
      </c>
      <c r="H59" s="68">
        <v>749363.82</v>
      </c>
      <c r="I59" s="68">
        <v>1263374</v>
      </c>
      <c r="J59" s="68">
        <v>2255693</v>
      </c>
      <c r="K59" s="68">
        <v>979126.91</v>
      </c>
      <c r="L59" s="68">
        <v>2051453.65</v>
      </c>
      <c r="M59" s="68">
        <v>2755065.72</v>
      </c>
      <c r="N59" s="68">
        <f>3737899.35-2800000</f>
        <v>937899.35000000009</v>
      </c>
      <c r="O59" s="68">
        <v>1197870.8500000001</v>
      </c>
      <c r="P59" s="68">
        <f>1815622.38-700000</f>
        <v>1115622.3799999999</v>
      </c>
      <c r="Q59" s="68">
        <f>2397093.64-1500000</f>
        <v>897093.64000000013</v>
      </c>
      <c r="R59" s="69">
        <v>3030461.89</v>
      </c>
      <c r="S59" s="68">
        <f>3332719.66</f>
        <v>3332719.66</v>
      </c>
      <c r="T59" s="68">
        <v>0</v>
      </c>
      <c r="U59" s="68">
        <v>0</v>
      </c>
      <c r="V59" s="68">
        <v>0</v>
      </c>
      <c r="W59" s="68">
        <v>0</v>
      </c>
      <c r="X59" s="68">
        <v>2767934.57</v>
      </c>
      <c r="Y59" s="68">
        <v>3291019</v>
      </c>
      <c r="Z59" s="68">
        <v>3878582.92</v>
      </c>
      <c r="AA59" s="69">
        <f>4397481.27</f>
        <v>4397481.2699999996</v>
      </c>
      <c r="AB59" s="69">
        <v>4930032.4400000004</v>
      </c>
      <c r="AC59" s="69">
        <f>5354162.43</f>
        <v>5354162.43</v>
      </c>
      <c r="AD59" s="69">
        <f>3287703.49</f>
        <v>3287703.49</v>
      </c>
      <c r="AE59" s="69">
        <v>16482.240000000002</v>
      </c>
      <c r="AF59" s="69">
        <v>60970.29</v>
      </c>
      <c r="AG59" s="69">
        <v>567456.02</v>
      </c>
      <c r="AH59" s="69">
        <v>840005.74</v>
      </c>
      <c r="AI59" s="69">
        <v>1319758.8400000001</v>
      </c>
      <c r="AJ59" s="69">
        <v>1734353.95</v>
      </c>
      <c r="AK59" s="69">
        <v>2141653.2999999998</v>
      </c>
      <c r="AL59" s="69">
        <v>2071784.45</v>
      </c>
      <c r="AM59" s="69">
        <v>2324804.77</v>
      </c>
      <c r="AN59" s="69">
        <f>2733107.83</f>
        <v>2733107.83</v>
      </c>
      <c r="AO59" s="69">
        <f>3103051.4</f>
        <v>3103051.4</v>
      </c>
      <c r="AP59" s="69">
        <v>2071612.44</v>
      </c>
      <c r="AQ59" s="69">
        <v>2457320.63</v>
      </c>
      <c r="AR59" s="69">
        <v>0</v>
      </c>
      <c r="AS59" s="69">
        <v>0</v>
      </c>
      <c r="AT59" s="69">
        <v>279134.2</v>
      </c>
      <c r="AU59" s="69">
        <v>767974.46</v>
      </c>
      <c r="AV59" s="69">
        <v>1178693.57</v>
      </c>
      <c r="AW59" s="70">
        <f>1559277.24</f>
        <v>1559277.24</v>
      </c>
      <c r="AX59" s="70">
        <f>2202131.17</f>
        <v>2202131.17</v>
      </c>
      <c r="AY59" s="70">
        <f>1694811.64</f>
        <v>1694811.64</v>
      </c>
      <c r="AZ59" s="70">
        <f>2181897.72</f>
        <v>2181897.7200000002</v>
      </c>
      <c r="BA59" s="70">
        <f>2683068.17</f>
        <v>2683068.17</v>
      </c>
      <c r="BB59" s="70">
        <v>2821695.19</v>
      </c>
      <c r="BC59" s="70">
        <v>3229048.86</v>
      </c>
      <c r="BD59" s="70">
        <v>0</v>
      </c>
      <c r="BE59" s="70">
        <v>694997.68</v>
      </c>
      <c r="BF59" s="70">
        <v>1678619.62</v>
      </c>
      <c r="BG59" s="70">
        <v>2805586.35</v>
      </c>
      <c r="BH59" s="70">
        <v>1378082.07</v>
      </c>
      <c r="BI59" s="70">
        <v>1909605.96</v>
      </c>
      <c r="BJ59" s="70">
        <v>2287553.27</v>
      </c>
      <c r="BK59" s="70">
        <v>2660411.2200000002</v>
      </c>
      <c r="BL59" s="70">
        <v>3135089.69</v>
      </c>
      <c r="BM59" s="70">
        <v>3660470.83</v>
      </c>
      <c r="BN59" s="70">
        <v>160696.31</v>
      </c>
      <c r="BO59" s="70">
        <v>640539.93000000005</v>
      </c>
      <c r="BP59" s="70">
        <v>0</v>
      </c>
      <c r="BQ59" s="70">
        <v>2471531.73</v>
      </c>
      <c r="BR59" s="2"/>
    </row>
    <row r="60" spans="2:70" x14ac:dyDescent="0.5">
      <c r="B60" s="17">
        <v>230</v>
      </c>
      <c r="C60" s="18" t="s">
        <v>65</v>
      </c>
      <c r="D60" s="18" t="s">
        <v>61</v>
      </c>
      <c r="E60" s="18"/>
      <c r="F60" s="19" t="s">
        <v>124</v>
      </c>
      <c r="G60" s="68">
        <v>182832.66</v>
      </c>
      <c r="H60" s="68">
        <v>90933.38</v>
      </c>
      <c r="I60" s="68">
        <v>83759</v>
      </c>
      <c r="J60" s="68">
        <v>49967</v>
      </c>
      <c r="K60" s="68">
        <v>0</v>
      </c>
      <c r="L60" s="68">
        <v>12521.23</v>
      </c>
      <c r="M60" s="68">
        <v>0</v>
      </c>
      <c r="N60" s="68">
        <v>47812.45</v>
      </c>
      <c r="O60" s="68">
        <v>91838.76</v>
      </c>
      <c r="P60" s="68">
        <v>160059.06</v>
      </c>
      <c r="Q60" s="68">
        <v>87602.32</v>
      </c>
      <c r="R60" s="69">
        <v>92107.23</v>
      </c>
      <c r="S60" s="68">
        <v>122759.75</v>
      </c>
      <c r="T60" s="68">
        <v>46130.66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9">
        <v>0</v>
      </c>
      <c r="AB60" s="69">
        <v>101461.65</v>
      </c>
      <c r="AC60" s="69">
        <f>71885.48</f>
        <v>71885.48</v>
      </c>
      <c r="AD60" s="69">
        <v>84607.87</v>
      </c>
      <c r="AE60" s="69">
        <v>124264.05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59070.97</v>
      </c>
      <c r="AO60" s="69">
        <v>0</v>
      </c>
      <c r="AP60" s="69">
        <v>55821.77</v>
      </c>
      <c r="AQ60" s="69">
        <v>69262.48</v>
      </c>
      <c r="AR60" s="69">
        <v>1323.58</v>
      </c>
      <c r="AS60" s="69">
        <f>0</f>
        <v>0</v>
      </c>
      <c r="AT60" s="69">
        <v>0</v>
      </c>
      <c r="AU60" s="69">
        <v>0</v>
      </c>
      <c r="AV60" s="69">
        <v>0</v>
      </c>
      <c r="AW60" s="70">
        <v>0</v>
      </c>
      <c r="AX60" s="70">
        <v>0</v>
      </c>
      <c r="AY60" s="70">
        <v>23410.46</v>
      </c>
      <c r="AZ60" s="70">
        <v>69319.58</v>
      </c>
      <c r="BA60" s="70">
        <v>0</v>
      </c>
      <c r="BB60" s="70">
        <v>54713.58</v>
      </c>
      <c r="BC60" s="70">
        <v>47843.39</v>
      </c>
      <c r="BD60" s="70">
        <v>0</v>
      </c>
      <c r="BE60" s="70">
        <v>0</v>
      </c>
      <c r="BF60" s="70">
        <v>0</v>
      </c>
      <c r="BG60" s="70">
        <v>0</v>
      </c>
      <c r="BH60" s="70">
        <v>0</v>
      </c>
      <c r="BI60" s="70">
        <v>0</v>
      </c>
      <c r="BJ60" s="70">
        <v>0</v>
      </c>
      <c r="BK60" s="70">
        <v>47582.01</v>
      </c>
      <c r="BL60" s="70">
        <v>65713.67</v>
      </c>
      <c r="BM60" s="70">
        <v>13119.2</v>
      </c>
      <c r="BN60" s="70">
        <v>46196.71</v>
      </c>
      <c r="BO60" s="70">
        <v>68926.42</v>
      </c>
      <c r="BP60" s="70">
        <v>95402.97</v>
      </c>
      <c r="BQ60" s="70">
        <v>119418.42</v>
      </c>
      <c r="BR60" s="2"/>
    </row>
    <row r="61" spans="2:70" x14ac:dyDescent="0.5">
      <c r="B61" s="17" t="s">
        <v>135</v>
      </c>
      <c r="C61" s="18" t="s">
        <v>12</v>
      </c>
      <c r="D61" s="18" t="s">
        <v>64</v>
      </c>
      <c r="E61" s="18"/>
      <c r="F61" s="19" t="s">
        <v>134</v>
      </c>
      <c r="G61" s="68">
        <v>0</v>
      </c>
      <c r="H61" s="68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f>-391702.35+391702.35</f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77327.19</v>
      </c>
      <c r="V61" s="69">
        <v>381922.75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69">
        <v>0</v>
      </c>
      <c r="AO61" s="69">
        <v>0</v>
      </c>
      <c r="AP61" s="69">
        <v>0</v>
      </c>
      <c r="AQ61" s="69">
        <v>0</v>
      </c>
      <c r="AR61" s="69">
        <v>0</v>
      </c>
      <c r="AS61" s="69">
        <v>0</v>
      </c>
      <c r="AT61" s="69">
        <v>0</v>
      </c>
      <c r="AU61" s="69">
        <v>0</v>
      </c>
      <c r="AV61" s="69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70">
        <v>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>
        <v>0</v>
      </c>
      <c r="BQ61" s="70">
        <v>0</v>
      </c>
    </row>
    <row r="62" spans="2:70" x14ac:dyDescent="0.5">
      <c r="B62" s="17" t="s">
        <v>28</v>
      </c>
      <c r="C62" s="18" t="s">
        <v>57</v>
      </c>
      <c r="D62" s="18" t="s">
        <v>30</v>
      </c>
      <c r="E62" s="18"/>
      <c r="F62" s="19" t="s">
        <v>125</v>
      </c>
      <c r="G62" s="68">
        <v>691433.63</v>
      </c>
      <c r="H62" s="68">
        <v>740397.2</v>
      </c>
      <c r="I62" s="68">
        <v>625884</v>
      </c>
      <c r="J62" s="68">
        <v>641609</v>
      </c>
      <c r="K62" s="68">
        <v>328285.61</v>
      </c>
      <c r="L62" s="68">
        <v>519202.64</v>
      </c>
      <c r="M62" s="68">
        <v>401171.4</v>
      </c>
      <c r="N62" s="68">
        <v>497793.9</v>
      </c>
      <c r="O62" s="68">
        <v>446377.08</v>
      </c>
      <c r="P62" s="68">
        <v>457438.24</v>
      </c>
      <c r="Q62" s="68">
        <v>457330.28</v>
      </c>
      <c r="R62" s="69">
        <v>504104.75</v>
      </c>
      <c r="S62" s="68">
        <v>306074.95</v>
      </c>
      <c r="T62" s="68">
        <v>448430.68</v>
      </c>
      <c r="U62" s="68">
        <v>391655.78</v>
      </c>
      <c r="V62" s="68">
        <v>132247.16</v>
      </c>
      <c r="W62" s="68">
        <v>361430.88</v>
      </c>
      <c r="X62" s="68">
        <v>43450.11</v>
      </c>
      <c r="Y62" s="68">
        <v>171114.69</v>
      </c>
      <c r="Z62" s="68">
        <v>309360.02</v>
      </c>
      <c r="AA62" s="69">
        <f>146381.36</f>
        <v>146381.35999999999</v>
      </c>
      <c r="AB62" s="69">
        <v>261357.5</v>
      </c>
      <c r="AC62" s="69">
        <f>188205.27</f>
        <v>188205.27</v>
      </c>
      <c r="AD62" s="69">
        <v>101192.69</v>
      </c>
      <c r="AE62" s="69">
        <f>252944.47-140000</f>
        <v>112944.47</v>
      </c>
      <c r="AF62" s="69">
        <v>265213.45</v>
      </c>
      <c r="AG62" s="69">
        <v>104872.65</v>
      </c>
      <c r="AH62" s="69">
        <v>1622.33</v>
      </c>
      <c r="AI62" s="69">
        <v>98118.720000000001</v>
      </c>
      <c r="AJ62" s="69">
        <v>-77665.38</v>
      </c>
      <c r="AK62" s="69">
        <v>0</v>
      </c>
      <c r="AL62" s="69">
        <v>0</v>
      </c>
      <c r="AM62" s="69">
        <v>96185.48</v>
      </c>
      <c r="AN62" s="69">
        <v>106971.63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0</v>
      </c>
      <c r="AU62" s="69">
        <v>294387.74</v>
      </c>
      <c r="AV62" s="69">
        <v>190981.77</v>
      </c>
      <c r="AW62" s="70">
        <f>2006678-1610077.73</f>
        <v>396600.27</v>
      </c>
      <c r="AX62" s="70">
        <f>2006678-1550729.16</f>
        <v>455948.84000000008</v>
      </c>
      <c r="AY62" s="70">
        <f>2006678-1694248.28</f>
        <v>312429.71999999997</v>
      </c>
      <c r="AZ62" s="70">
        <f>-2006678+2252653.74</f>
        <v>245975.74000000022</v>
      </c>
      <c r="BA62" s="70">
        <v>0</v>
      </c>
      <c r="BB62" s="70">
        <v>0</v>
      </c>
      <c r="BC62" s="70">
        <v>0</v>
      </c>
      <c r="BD62" s="70">
        <v>568454.52</v>
      </c>
      <c r="BE62" s="70">
        <f>497132.57</f>
        <v>497132.57</v>
      </c>
      <c r="BF62" s="70">
        <v>732815.87</v>
      </c>
      <c r="BG62" s="70">
        <v>575728.85</v>
      </c>
      <c r="BH62" s="70">
        <v>515357.36</v>
      </c>
      <c r="BI62" s="70">
        <v>136205.07999999999</v>
      </c>
      <c r="BJ62" s="70">
        <v>204697.46</v>
      </c>
      <c r="BK62" s="70">
        <v>94783.83</v>
      </c>
      <c r="BL62" s="70">
        <v>126925.57</v>
      </c>
      <c r="BM62" s="70">
        <v>274899.81</v>
      </c>
      <c r="BN62" s="70">
        <v>432520.68</v>
      </c>
      <c r="BO62" s="70">
        <v>216439.11</v>
      </c>
      <c r="BP62" s="70">
        <v>374487.17</v>
      </c>
      <c r="BQ62" s="70">
        <v>433920.84</v>
      </c>
    </row>
    <row r="63" spans="2:70" x14ac:dyDescent="0.5">
      <c r="B63" s="17" t="s">
        <v>14</v>
      </c>
      <c r="C63" s="18" t="s">
        <v>58</v>
      </c>
      <c r="D63" s="18" t="s">
        <v>16</v>
      </c>
      <c r="E63" s="18"/>
      <c r="F63" s="19" t="s">
        <v>126</v>
      </c>
      <c r="G63" s="68">
        <v>1030291.01</v>
      </c>
      <c r="H63" s="68">
        <v>0</v>
      </c>
      <c r="I63" s="68">
        <v>0</v>
      </c>
      <c r="J63" s="68">
        <v>0</v>
      </c>
      <c r="K63" s="68">
        <v>1115588.98</v>
      </c>
      <c r="L63" s="68">
        <v>0</v>
      </c>
      <c r="M63" s="68">
        <v>937976.74</v>
      </c>
      <c r="N63" s="68">
        <f>192390.74-192390.74</f>
        <v>0</v>
      </c>
      <c r="O63" s="68">
        <v>0</v>
      </c>
      <c r="P63" s="68">
        <v>503251</v>
      </c>
      <c r="Q63" s="68">
        <v>0</v>
      </c>
      <c r="R63" s="69">
        <v>845199.28</v>
      </c>
      <c r="S63" s="68">
        <v>0</v>
      </c>
      <c r="T63" s="68">
        <v>0</v>
      </c>
      <c r="U63" s="68">
        <v>603461.6</v>
      </c>
      <c r="V63" s="68">
        <v>0</v>
      </c>
      <c r="W63" s="68">
        <v>303252.57</v>
      </c>
      <c r="X63" s="68">
        <v>0</v>
      </c>
      <c r="Y63" s="68">
        <v>0</v>
      </c>
      <c r="Z63" s="68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0</v>
      </c>
      <c r="BJ63" s="70">
        <v>0</v>
      </c>
      <c r="BK63" s="70">
        <v>0</v>
      </c>
      <c r="BL63" s="70">
        <v>0</v>
      </c>
      <c r="BM63" s="70">
        <v>0</v>
      </c>
      <c r="BN63" s="70">
        <v>0</v>
      </c>
      <c r="BO63" s="70">
        <v>0</v>
      </c>
      <c r="BP63" s="70">
        <v>0</v>
      </c>
      <c r="BQ63" s="70">
        <v>0</v>
      </c>
    </row>
    <row r="64" spans="2:70" x14ac:dyDescent="0.5">
      <c r="B64" s="72">
        <v>245460461480481</v>
      </c>
      <c r="C64" s="18" t="s">
        <v>12</v>
      </c>
      <c r="D64" s="18" t="s">
        <v>63</v>
      </c>
      <c r="E64" s="18"/>
      <c r="F64" s="19" t="s">
        <v>127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64866.81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139547.24</v>
      </c>
      <c r="W64" s="69">
        <v>0</v>
      </c>
      <c r="X64" s="69">
        <f>-192204.85-3312.74+606440.46</f>
        <v>410922.87</v>
      </c>
      <c r="Y64" s="69">
        <f>-130260.99+92725.5+91689.89</f>
        <v>54154.399999999994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</row>
    <row r="65" spans="2:69" x14ac:dyDescent="0.5">
      <c r="B65" s="17">
        <v>483</v>
      </c>
      <c r="C65" s="18" t="s">
        <v>85</v>
      </c>
      <c r="D65" s="18" t="s">
        <v>13</v>
      </c>
      <c r="E65" s="18"/>
      <c r="F65" s="19" t="s">
        <v>128</v>
      </c>
      <c r="G65" s="68">
        <v>0</v>
      </c>
      <c r="H65" s="68">
        <v>0</v>
      </c>
      <c r="I65" s="68">
        <v>455177</v>
      </c>
      <c r="J65" s="68">
        <v>402309</v>
      </c>
      <c r="K65" s="68">
        <v>413988.61</v>
      </c>
      <c r="L65" s="68">
        <v>550309.86</v>
      </c>
      <c r="M65" s="68">
        <v>803362</v>
      </c>
      <c r="N65" s="68">
        <v>452105.86</v>
      </c>
      <c r="O65" s="68">
        <v>398446.66</v>
      </c>
      <c r="P65" s="68">
        <v>489182.38</v>
      </c>
      <c r="Q65" s="68">
        <v>518666.84</v>
      </c>
      <c r="R65" s="69">
        <v>381130.44</v>
      </c>
      <c r="S65" s="68">
        <v>146346.59</v>
      </c>
      <c r="T65" s="68">
        <v>220953.72</v>
      </c>
      <c r="U65" s="68">
        <v>320197.08</v>
      </c>
      <c r="V65" s="68">
        <v>274640.28000000003</v>
      </c>
      <c r="W65" s="68">
        <v>507864.86</v>
      </c>
      <c r="X65" s="68">
        <v>599829.54</v>
      </c>
      <c r="Y65" s="68">
        <v>165923.60999999999</v>
      </c>
      <c r="Z65" s="68">
        <v>137110.92000000001</v>
      </c>
      <c r="AA65" s="69">
        <v>167125.01999999999</v>
      </c>
      <c r="AB65" s="69">
        <v>294260.59000000003</v>
      </c>
      <c r="AC65" s="69">
        <v>272670.78000000003</v>
      </c>
      <c r="AD65" s="69">
        <v>174986.21</v>
      </c>
      <c r="AE65" s="69">
        <v>149971.03</v>
      </c>
      <c r="AF65" s="69">
        <v>268148.75</v>
      </c>
      <c r="AG65" s="69">
        <v>337585.54</v>
      </c>
      <c r="AH65" s="69">
        <v>227043.43</v>
      </c>
      <c r="AI65" s="69">
        <v>115377.32</v>
      </c>
      <c r="AJ65" s="69">
        <v>354356.37</v>
      </c>
      <c r="AK65" s="69">
        <v>160783.32999999999</v>
      </c>
      <c r="AL65" s="69">
        <v>312244.58</v>
      </c>
      <c r="AM65" s="69">
        <v>152123.68</v>
      </c>
      <c r="AN65" s="69">
        <f>170790.36</f>
        <v>170790.36</v>
      </c>
      <c r="AO65" s="69">
        <v>284722.18</v>
      </c>
      <c r="AP65" s="69">
        <v>480076.68</v>
      </c>
      <c r="AQ65" s="69">
        <v>366815.76</v>
      </c>
      <c r="AR65" s="69">
        <v>226079.8</v>
      </c>
      <c r="AS65" s="69">
        <v>329811.20000000001</v>
      </c>
      <c r="AT65" s="69">
        <v>262899.95</v>
      </c>
      <c r="AU65" s="69">
        <v>399854.5</v>
      </c>
      <c r="AV65" s="69">
        <v>278536.58</v>
      </c>
      <c r="AW65" s="70">
        <v>303593.01</v>
      </c>
      <c r="AX65" s="70">
        <v>166850.49</v>
      </c>
      <c r="AY65" s="70">
        <v>267899.90999999997</v>
      </c>
      <c r="AZ65" s="70">
        <v>440704.11</v>
      </c>
      <c r="BA65" s="70">
        <v>876671.82</v>
      </c>
      <c r="BB65" s="70">
        <v>876671.82</v>
      </c>
      <c r="BC65" s="70">
        <v>928881.63</v>
      </c>
      <c r="BD65" s="70">
        <v>928881.63</v>
      </c>
      <c r="BE65" s="70">
        <v>928881.63</v>
      </c>
      <c r="BF65" s="70">
        <v>0</v>
      </c>
      <c r="BG65" s="70">
        <v>0</v>
      </c>
      <c r="BH65" s="70">
        <v>0</v>
      </c>
      <c r="BI65" s="70">
        <v>0</v>
      </c>
      <c r="BJ65" s="70">
        <v>0</v>
      </c>
      <c r="BK65" s="70">
        <v>0</v>
      </c>
      <c r="BL65" s="70">
        <v>0</v>
      </c>
      <c r="BM65" s="70">
        <v>0</v>
      </c>
      <c r="BN65" s="70">
        <v>0</v>
      </c>
      <c r="BO65" s="70">
        <v>0</v>
      </c>
      <c r="BP65" s="70">
        <v>0</v>
      </c>
      <c r="BQ65" s="70">
        <v>0</v>
      </c>
    </row>
    <row r="66" spans="2:69" x14ac:dyDescent="0.5">
      <c r="B66" s="17">
        <v>603</v>
      </c>
      <c r="C66" s="18"/>
      <c r="D66" s="18" t="s">
        <v>40</v>
      </c>
      <c r="E66" s="18"/>
      <c r="F66" s="19" t="s">
        <v>129</v>
      </c>
      <c r="G66" s="68">
        <v>185764.06</v>
      </c>
      <c r="H66" s="68">
        <v>227564.01</v>
      </c>
      <c r="I66" s="68">
        <v>173700</v>
      </c>
      <c r="J66" s="68">
        <v>173700</v>
      </c>
      <c r="K66" s="68">
        <v>205330.65</v>
      </c>
      <c r="L66" s="68">
        <v>211500.36</v>
      </c>
      <c r="M66" s="68">
        <v>240108.73</v>
      </c>
      <c r="N66" s="68">
        <v>264666.7</v>
      </c>
      <c r="O66" s="68">
        <v>286254.23</v>
      </c>
      <c r="P66" s="68">
        <v>339624.13</v>
      </c>
      <c r="Q66" s="68">
        <f>339624.13-359</f>
        <v>339265.13</v>
      </c>
      <c r="R66" s="69">
        <v>99375.61</v>
      </c>
      <c r="S66" s="68">
        <v>72332.509999999995</v>
      </c>
      <c r="T66" s="68">
        <v>17411.16</v>
      </c>
      <c r="U66" s="68">
        <v>188736.33</v>
      </c>
      <c r="V66" s="68">
        <v>217076.68</v>
      </c>
      <c r="W66" s="68">
        <v>221771.68</v>
      </c>
      <c r="X66" s="68">
        <v>240706.07</v>
      </c>
      <c r="Y66" s="68">
        <v>158332.35999999999</v>
      </c>
      <c r="Z66" s="68">
        <v>168197.08</v>
      </c>
      <c r="AA66" s="69">
        <v>188657.39</v>
      </c>
      <c r="AB66" s="69">
        <v>171016.32000000001</v>
      </c>
      <c r="AC66" s="69">
        <v>184352.62</v>
      </c>
      <c r="AD66" s="69">
        <v>190973.17</v>
      </c>
      <c r="AE66" s="69">
        <v>195845.95</v>
      </c>
      <c r="AF66" s="69">
        <v>146234.64000000001</v>
      </c>
      <c r="AG66" s="69">
        <v>155024.87</v>
      </c>
      <c r="AH66" s="69">
        <v>245966.92</v>
      </c>
      <c r="AI66" s="69">
        <v>264945.44</v>
      </c>
      <c r="AJ66" s="69">
        <v>289923.11</v>
      </c>
      <c r="AK66" s="69">
        <v>315055.89</v>
      </c>
      <c r="AL66" s="69">
        <v>160598.71</v>
      </c>
      <c r="AM66" s="69">
        <v>231668.5</v>
      </c>
      <c r="AN66" s="69">
        <f>223113.47</f>
        <v>223113.47</v>
      </c>
      <c r="AO66" s="69">
        <v>228579.93</v>
      </c>
      <c r="AP66" s="69">
        <v>184444.17</v>
      </c>
      <c r="AQ66" s="69">
        <v>101659.74</v>
      </c>
      <c r="AR66" s="69">
        <v>143800.78</v>
      </c>
      <c r="AS66" s="69">
        <v>167617.88</v>
      </c>
      <c r="AT66" s="69">
        <v>178071.48</v>
      </c>
      <c r="AU66" s="69">
        <v>292450.15000000002</v>
      </c>
      <c r="AV66" s="69">
        <v>321841.81</v>
      </c>
      <c r="AW66" s="70">
        <v>351054.32</v>
      </c>
      <c r="AX66" s="70">
        <v>375804.11</v>
      </c>
      <c r="AY66" s="70">
        <v>401835.67</v>
      </c>
      <c r="AZ66" s="70">
        <v>192787.14</v>
      </c>
      <c r="BA66" s="70">
        <v>195974.86</v>
      </c>
      <c r="BB66" s="70">
        <v>191287.13</v>
      </c>
      <c r="BC66" s="70">
        <v>267700.59000000003</v>
      </c>
      <c r="BD66" s="70">
        <v>272007.03999999998</v>
      </c>
      <c r="BE66" s="70">
        <v>301114.36</v>
      </c>
      <c r="BF66" s="70">
        <v>297286.38</v>
      </c>
      <c r="BG66" s="70">
        <v>336969.76</v>
      </c>
      <c r="BH66" s="70">
        <v>365530.54</v>
      </c>
      <c r="BI66" s="70">
        <v>395506.1</v>
      </c>
      <c r="BJ66" s="70">
        <v>420211.75</v>
      </c>
      <c r="BK66" s="70">
        <v>442518.08</v>
      </c>
      <c r="BL66" s="70">
        <v>489875.63</v>
      </c>
      <c r="BM66" s="70">
        <v>498427.21</v>
      </c>
      <c r="BN66" s="70">
        <v>228333.3</v>
      </c>
      <c r="BO66" s="70">
        <v>217248.82</v>
      </c>
      <c r="BP66" s="70">
        <v>154504.92000000001</v>
      </c>
      <c r="BQ66" s="70">
        <v>154504.92000000001</v>
      </c>
    </row>
    <row r="67" spans="2:69" ht="36" hidden="1" thickBot="1" x14ac:dyDescent="0.55000000000000004">
      <c r="B67" s="17"/>
      <c r="C67" s="18"/>
      <c r="D67" s="18"/>
      <c r="E67" s="18"/>
      <c r="F67" s="11" t="s">
        <v>59</v>
      </c>
      <c r="G67" s="68">
        <v>0</v>
      </c>
      <c r="H67" s="68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4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4">
        <v>0</v>
      </c>
      <c r="AB67" s="74">
        <v>0</v>
      </c>
      <c r="AC67" s="74">
        <v>0</v>
      </c>
      <c r="AD67" s="74">
        <v>0</v>
      </c>
      <c r="AE67" s="74">
        <v>0</v>
      </c>
      <c r="AF67" s="74">
        <v>0</v>
      </c>
      <c r="AG67" s="74">
        <v>0</v>
      </c>
      <c r="AH67" s="74">
        <v>0</v>
      </c>
      <c r="AI67" s="74">
        <v>0</v>
      </c>
      <c r="AJ67" s="74">
        <v>0</v>
      </c>
      <c r="AK67" s="74">
        <v>0</v>
      </c>
      <c r="AL67" s="74">
        <v>0</v>
      </c>
      <c r="AM67" s="74">
        <v>0</v>
      </c>
      <c r="AN67" s="74">
        <v>0</v>
      </c>
      <c r="AO67" s="74">
        <v>0</v>
      </c>
      <c r="AP67" s="74">
        <v>0</v>
      </c>
      <c r="AQ67" s="74">
        <v>0</v>
      </c>
      <c r="AR67" s="74">
        <v>0</v>
      </c>
      <c r="AS67" s="74">
        <v>0</v>
      </c>
      <c r="AT67" s="74">
        <v>0</v>
      </c>
      <c r="AU67" s="74">
        <v>0</v>
      </c>
      <c r="AV67" s="74">
        <v>0</v>
      </c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5">
        <v>0</v>
      </c>
      <c r="BF67" s="75">
        <v>0</v>
      </c>
      <c r="BG67" s="75">
        <v>0</v>
      </c>
      <c r="BH67" s="75">
        <v>0</v>
      </c>
      <c r="BI67" s="81">
        <v>0</v>
      </c>
      <c r="BJ67" s="75">
        <v>0</v>
      </c>
      <c r="BK67" s="81">
        <v>0</v>
      </c>
      <c r="BL67" s="75">
        <v>0</v>
      </c>
      <c r="BM67" s="75">
        <v>0</v>
      </c>
      <c r="BN67" s="75">
        <v>0</v>
      </c>
      <c r="BO67" s="75">
        <v>0</v>
      </c>
      <c r="BP67" s="81">
        <v>0</v>
      </c>
      <c r="BQ67" s="75">
        <v>0</v>
      </c>
    </row>
    <row r="68" spans="2:69" ht="36" thickBot="1" x14ac:dyDescent="0.55000000000000004">
      <c r="B68" s="2" t="s">
        <v>60</v>
      </c>
      <c r="C68" s="60"/>
      <c r="D68" s="60"/>
      <c r="E68" s="60"/>
      <c r="F68" s="11" t="s">
        <v>53</v>
      </c>
      <c r="G68" s="73">
        <f t="shared" ref="G68:AH68" si="121">SUM(G57:G67)</f>
        <v>3713634.7100000004</v>
      </c>
      <c r="H68" s="73">
        <f t="shared" si="121"/>
        <v>1808258.41</v>
      </c>
      <c r="I68" s="73">
        <f t="shared" si="121"/>
        <v>2601894</v>
      </c>
      <c r="J68" s="73">
        <f t="shared" si="121"/>
        <v>3523278</v>
      </c>
      <c r="K68" s="73">
        <f t="shared" si="121"/>
        <v>3042320.76</v>
      </c>
      <c r="L68" s="73">
        <f t="shared" si="121"/>
        <v>3344987.7399999998</v>
      </c>
      <c r="M68" s="73">
        <f t="shared" si="121"/>
        <v>5202551.4000000004</v>
      </c>
      <c r="N68" s="73">
        <f t="shared" si="121"/>
        <v>2200278.2600000002</v>
      </c>
      <c r="O68" s="73">
        <f t="shared" si="121"/>
        <v>2420787.58</v>
      </c>
      <c r="P68" s="73">
        <f t="shared" si="121"/>
        <v>3065177.1899999995</v>
      </c>
      <c r="Q68" s="73">
        <f t="shared" si="121"/>
        <v>2299958.2100000004</v>
      </c>
      <c r="R68" s="74">
        <f t="shared" si="121"/>
        <v>4952379.2000000011</v>
      </c>
      <c r="S68" s="73">
        <f t="shared" si="121"/>
        <v>3980233.46</v>
      </c>
      <c r="T68" s="73">
        <f t="shared" si="121"/>
        <v>732926.22</v>
      </c>
      <c r="U68" s="73">
        <f t="shared" si="121"/>
        <v>1581377.9800000002</v>
      </c>
      <c r="V68" s="73">
        <f t="shared" si="121"/>
        <v>1145434.1100000001</v>
      </c>
      <c r="W68" s="73">
        <f t="shared" si="121"/>
        <v>1394319.99</v>
      </c>
      <c r="X68" s="73">
        <f t="shared" si="121"/>
        <v>4062843.1599999997</v>
      </c>
      <c r="Y68" s="73">
        <f t="shared" si="121"/>
        <v>3840544.0599999996</v>
      </c>
      <c r="Z68" s="73">
        <f t="shared" si="121"/>
        <v>4493250.9400000004</v>
      </c>
      <c r="AA68" s="74">
        <f t="shared" si="121"/>
        <v>4899645.0399999991</v>
      </c>
      <c r="AB68" s="74">
        <f t="shared" si="121"/>
        <v>5758128.5000000009</v>
      </c>
      <c r="AC68" s="74">
        <f t="shared" si="121"/>
        <v>6071276.5800000001</v>
      </c>
      <c r="AD68" s="74">
        <f t="shared" si="121"/>
        <v>3839463.43</v>
      </c>
      <c r="AE68" s="74">
        <f t="shared" si="121"/>
        <v>599507.74</v>
      </c>
      <c r="AF68" s="74">
        <f t="shared" si="121"/>
        <v>740567.13</v>
      </c>
      <c r="AG68" s="74">
        <f t="shared" si="121"/>
        <v>1164939.08</v>
      </c>
      <c r="AH68" s="74">
        <f t="shared" si="121"/>
        <v>1314638.42</v>
      </c>
      <c r="AI68" s="74">
        <f t="shared" ref="AI68:AN68" si="122">SUM(AI57:AI67)</f>
        <v>1798200.3200000001</v>
      </c>
      <c r="AJ68" s="74">
        <f t="shared" si="122"/>
        <v>2300968.0499999998</v>
      </c>
      <c r="AK68" s="74">
        <f t="shared" si="122"/>
        <v>2617492.52</v>
      </c>
      <c r="AL68" s="74">
        <f t="shared" si="122"/>
        <v>2544627.7399999998</v>
      </c>
      <c r="AM68" s="74">
        <f t="shared" si="122"/>
        <v>2804782.43</v>
      </c>
      <c r="AN68" s="74">
        <f t="shared" si="122"/>
        <v>3293054.2600000002</v>
      </c>
      <c r="AO68" s="74">
        <f t="shared" ref="AO68:AT68" si="123">SUM(AO57:AO67)</f>
        <v>3616353.5100000002</v>
      </c>
      <c r="AP68" s="74">
        <f t="shared" si="123"/>
        <v>2791955.06</v>
      </c>
      <c r="AQ68" s="74">
        <f t="shared" si="123"/>
        <v>2995058.6100000003</v>
      </c>
      <c r="AR68" s="74">
        <f t="shared" si="123"/>
        <v>371204.16</v>
      </c>
      <c r="AS68" s="74">
        <f t="shared" si="123"/>
        <v>497429.08</v>
      </c>
      <c r="AT68" s="74">
        <f t="shared" si="123"/>
        <v>720105.63</v>
      </c>
      <c r="AU68" s="74">
        <f t="shared" ref="AU68:AV68" si="124">SUM(AU57:AU67)</f>
        <v>1754666.85</v>
      </c>
      <c r="AV68" s="74">
        <f t="shared" si="124"/>
        <v>2036053.7300000002</v>
      </c>
      <c r="AW68" s="75">
        <f t="shared" ref="AW68:BB68" si="125">SUM(AW57:AW67)</f>
        <v>2676524.84</v>
      </c>
      <c r="AX68" s="75">
        <f t="shared" si="125"/>
        <v>3516734.61</v>
      </c>
      <c r="AY68" s="75">
        <f t="shared" si="125"/>
        <v>3016387.4</v>
      </c>
      <c r="AZ68" s="75">
        <f t="shared" si="125"/>
        <v>3446684.2900000005</v>
      </c>
      <c r="BA68" s="75">
        <f t="shared" si="125"/>
        <v>4071714.8499999996</v>
      </c>
      <c r="BB68" s="75">
        <f t="shared" si="125"/>
        <v>4260367.72</v>
      </c>
      <c r="BC68" s="75">
        <f t="shared" ref="BC68" si="126">SUM(BC57:BC67)</f>
        <v>5148281.47</v>
      </c>
      <c r="BD68" s="75">
        <f t="shared" ref="BD68" si="127">SUM(BD57:BD67)</f>
        <v>2444150.19</v>
      </c>
      <c r="BE68" s="75">
        <f t="shared" ref="BE68" si="128">SUM(BE57:BE67)</f>
        <v>3096933.24</v>
      </c>
      <c r="BF68" s="75">
        <f t="shared" ref="BF68" si="129">SUM(BF57:BF67)</f>
        <v>3383528.87</v>
      </c>
      <c r="BG68" s="75">
        <f t="shared" ref="BG68" si="130">SUM(BG57:BG67)</f>
        <v>4355591.96</v>
      </c>
      <c r="BH68" s="75">
        <f t="shared" ref="BH68" si="131">SUM(BH57:BH67)</f>
        <v>2883776.97</v>
      </c>
      <c r="BI68" s="75">
        <f>SUM(BI57:BI67)</f>
        <v>3066124.14</v>
      </c>
      <c r="BJ68" s="75">
        <f t="shared" ref="BJ68:BO68" si="132">SUM(BJ58:BJ66)</f>
        <v>3537269.48</v>
      </c>
      <c r="BK68" s="75">
        <f t="shared" si="132"/>
        <v>3857602.14</v>
      </c>
      <c r="BL68" s="75">
        <f t="shared" si="132"/>
        <v>4429911.5599999996</v>
      </c>
      <c r="BM68" s="75">
        <f t="shared" si="132"/>
        <v>5059224.05</v>
      </c>
      <c r="BN68" s="75">
        <f t="shared" si="132"/>
        <v>1467554</v>
      </c>
      <c r="BO68" s="75">
        <f t="shared" si="132"/>
        <v>1742961.28</v>
      </c>
      <c r="BP68" s="75">
        <f t="shared" ref="BP68" si="133">SUM(BP58:BP66)</f>
        <v>1224202.0599999998</v>
      </c>
      <c r="BQ68" s="75">
        <f t="shared" ref="BQ68" si="134">SUM(BQ58:BQ66)</f>
        <v>3779182.9099999997</v>
      </c>
    </row>
    <row r="69" spans="2:69" ht="36" hidden="1" thickTop="1" x14ac:dyDescent="0.5">
      <c r="C69" s="76"/>
      <c r="D69" s="6"/>
      <c r="E69" s="6"/>
      <c r="F69" s="6"/>
    </row>
    <row r="70" spans="2:69" ht="36" hidden="1" thickTop="1" x14ac:dyDescent="0.5">
      <c r="B70" s="4" t="s">
        <v>119</v>
      </c>
      <c r="C70" s="76"/>
      <c r="D70" s="6"/>
      <c r="E70" s="6"/>
      <c r="F70" s="6"/>
    </row>
    <row r="71" spans="2:69" ht="36" hidden="1" thickTop="1" x14ac:dyDescent="0.5">
      <c r="C71" s="76"/>
      <c r="D71" s="6"/>
      <c r="E71" s="6"/>
      <c r="F71" s="6"/>
    </row>
    <row r="72" spans="2:69" ht="63" customHeight="1" thickTop="1" x14ac:dyDescent="0.5">
      <c r="B72" s="2" t="s">
        <v>91</v>
      </c>
      <c r="C72" s="88" t="s">
        <v>138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2:69" ht="37.5" customHeight="1" x14ac:dyDescent="0.5">
      <c r="B73" s="2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</row>
    <row r="74" spans="2:69" ht="71.25" customHeight="1" x14ac:dyDescent="0.5">
      <c r="B74" s="2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</row>
    <row r="75" spans="2:69" ht="20.25" customHeight="1" x14ac:dyDescent="0.5">
      <c r="B75" s="2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</row>
    <row r="76" spans="2:69" ht="48" customHeight="1" x14ac:dyDescent="0.5">
      <c r="B76" s="2"/>
      <c r="C76" s="79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</row>
    <row r="77" spans="2:69" ht="31.7" customHeight="1" x14ac:dyDescent="0.5">
      <c r="B77" s="2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2:69" ht="64.5" customHeight="1" x14ac:dyDescent="0.5">
      <c r="B78" s="2"/>
    </row>
    <row r="79" spans="2:69" x14ac:dyDescent="0.5">
      <c r="C79" s="77"/>
      <c r="D79" s="6"/>
      <c r="E79" s="6"/>
      <c r="F79" s="6"/>
    </row>
    <row r="80" spans="2:69" x14ac:dyDescent="0.5">
      <c r="B80" s="44"/>
      <c r="C80" s="76"/>
      <c r="D80" s="6"/>
      <c r="E80" s="6"/>
      <c r="F80" s="1"/>
    </row>
    <row r="81" spans="2:6" x14ac:dyDescent="0.5">
      <c r="B81" s="4" t="s">
        <v>0</v>
      </c>
      <c r="C81" s="84"/>
      <c r="D81" s="84"/>
      <c r="E81" s="84"/>
      <c r="F81" s="84"/>
    </row>
    <row r="82" spans="2:6" x14ac:dyDescent="0.5">
      <c r="C82" s="78"/>
      <c r="D82" s="6"/>
    </row>
    <row r="83" spans="2:6" x14ac:dyDescent="0.5">
      <c r="C83" s="84"/>
      <c r="D83" s="84"/>
      <c r="E83" s="84"/>
      <c r="F83" s="84"/>
    </row>
  </sheetData>
  <mergeCells count="9">
    <mergeCell ref="C81:F81"/>
    <mergeCell ref="C83:F83"/>
    <mergeCell ref="B1:F1"/>
    <mergeCell ref="B55:F55"/>
    <mergeCell ref="C73:V73"/>
    <mergeCell ref="D76:W76"/>
    <mergeCell ref="C72:V72"/>
    <mergeCell ref="C77:V77"/>
    <mergeCell ref="D74:W74"/>
  </mergeCells>
  <pageMargins left="0.25" right="0.25" top="0.25" bottom="0.25" header="0.3" footer="0.3"/>
  <pageSetup scale="23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Burlington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Fortier</dc:creator>
  <cp:lastModifiedBy>Carole Bourneuf</cp:lastModifiedBy>
  <cp:lastPrinted>2020-08-17T17:06:04Z</cp:lastPrinted>
  <dcterms:created xsi:type="dcterms:W3CDTF">2014-10-16T13:30:14Z</dcterms:created>
  <dcterms:modified xsi:type="dcterms:W3CDTF">2020-08-17T17:25:19Z</dcterms:modified>
</cp:coreProperties>
</file>