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oard of Finance\B O F\Agendas\Agendas 2017\June\6 5 17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Sheet1!$A$1:$E$7</definedName>
  </definedNames>
  <calcPr calcId="162913"/>
</workbook>
</file>

<file path=xl/calcChain.xml><?xml version="1.0" encoding="utf-8"?>
<calcChain xmlns="http://schemas.openxmlformats.org/spreadsheetml/2006/main">
  <c r="AC5" i="1" l="1"/>
  <c r="AC16" i="1"/>
  <c r="AC24" i="1"/>
  <c r="AC18" i="1"/>
  <c r="AC58" i="1"/>
  <c r="AC44" i="1" l="1"/>
  <c r="AC42" i="1"/>
  <c r="AC25" i="1" l="1"/>
  <c r="AC49" i="1"/>
  <c r="AC47" i="1"/>
  <c r="AC45" i="1"/>
  <c r="AC39" i="1"/>
  <c r="AC34" i="1"/>
  <c r="AC31" i="1"/>
  <c r="AC30" i="1"/>
  <c r="AC29" i="1"/>
  <c r="AC28" i="1"/>
  <c r="AC27" i="1"/>
  <c r="AC26" i="1"/>
  <c r="AC22" i="1"/>
  <c r="AC6" i="1"/>
  <c r="AC67" i="1" l="1"/>
  <c r="AC48" i="1"/>
  <c r="AC46" i="1"/>
  <c r="AC43" i="1"/>
  <c r="AC40" i="1"/>
  <c r="AC37" i="1"/>
  <c r="AC36" i="1"/>
  <c r="AC32" i="1"/>
  <c r="AC23" i="1"/>
  <c r="AC50" i="1" s="1"/>
  <c r="AC21" i="1"/>
  <c r="AC20" i="1"/>
  <c r="AC10" i="1"/>
  <c r="AC9" i="1" s="1"/>
  <c r="AC7" i="1"/>
  <c r="AC52" i="1" l="1"/>
  <c r="AC11" i="1"/>
  <c r="AC8" i="1" s="1"/>
  <c r="AB16" i="1"/>
  <c r="AB5" i="1"/>
  <c r="AB22" i="1"/>
  <c r="AB18" i="1" l="1"/>
  <c r="AB24" i="1"/>
  <c r="AB61" i="1" l="1"/>
  <c r="AB59" i="1"/>
  <c r="AB58" i="1"/>
  <c r="AB44" i="1" l="1"/>
  <c r="AB42" i="1"/>
  <c r="AB25" i="1"/>
  <c r="AB6" i="1"/>
  <c r="AB43" i="1"/>
  <c r="AB45" i="1"/>
  <c r="AB46" i="1"/>
  <c r="AB37" i="1"/>
  <c r="AB36" i="1"/>
  <c r="AB29" i="1"/>
  <c r="AB40" i="1"/>
  <c r="AB47" i="1"/>
  <c r="AB49" i="1"/>
  <c r="AB23" i="1"/>
  <c r="AB39" i="1"/>
  <c r="AB32" i="1"/>
  <c r="AB26" i="1"/>
  <c r="AB27" i="1"/>
  <c r="AB31" i="1"/>
  <c r="AB28" i="1"/>
  <c r="AB30" i="1"/>
  <c r="AB34" i="1"/>
  <c r="AB21" i="1"/>
  <c r="AB20" i="1"/>
  <c r="AB67" i="1"/>
  <c r="AB48" i="1"/>
  <c r="AB10" i="1"/>
  <c r="AB9" i="1" s="1"/>
  <c r="AB7" i="1"/>
  <c r="AB50" i="1" l="1"/>
  <c r="AB52" i="1" s="1"/>
  <c r="AB11" i="1"/>
  <c r="AB8" i="1" s="1"/>
  <c r="AA20" i="1"/>
  <c r="AA5" i="1"/>
  <c r="AA22" i="1" l="1"/>
  <c r="AA16" i="1" l="1"/>
  <c r="AA18" i="1"/>
  <c r="AA24" i="1"/>
  <c r="AA40" i="1" l="1"/>
  <c r="AA25" i="1"/>
  <c r="AA44" i="1" l="1"/>
  <c r="AA42" i="1"/>
  <c r="AA49" i="1"/>
  <c r="AA47" i="1"/>
  <c r="AA39" i="1"/>
  <c r="AA38" i="1"/>
  <c r="AA34" i="1"/>
  <c r="AA31" i="1"/>
  <c r="AA30" i="1"/>
  <c r="AA29" i="1"/>
  <c r="AA28" i="1"/>
  <c r="AA27" i="1"/>
  <c r="AA19" i="1"/>
  <c r="AA67" i="1" l="1"/>
  <c r="AA48" i="1"/>
  <c r="AA46" i="1"/>
  <c r="AA45" i="1"/>
  <c r="AA43" i="1"/>
  <c r="AA37" i="1"/>
  <c r="AA36" i="1"/>
  <c r="AA32" i="1"/>
  <c r="AA23" i="1"/>
  <c r="AA21" i="1"/>
  <c r="AA10" i="1"/>
  <c r="AA9" i="1" s="1"/>
  <c r="AA7" i="1"/>
  <c r="AA50" i="1" l="1"/>
  <c r="AA52" i="1" s="1"/>
  <c r="AA11" i="1"/>
  <c r="AA8" i="1" s="1"/>
  <c r="Z24" i="1"/>
  <c r="Z5" i="1"/>
  <c r="Z18" i="1"/>
  <c r="Z61" i="1" l="1"/>
  <c r="Z44" i="1"/>
  <c r="Z42" i="1"/>
  <c r="Z58" i="1"/>
  <c r="Z38" i="1"/>
  <c r="Z49" i="1"/>
  <c r="Z48" i="1"/>
  <c r="Z47" i="1"/>
  <c r="Z46" i="1"/>
  <c r="Z45" i="1"/>
  <c r="Z43" i="1"/>
  <c r="Z40" i="1"/>
  <c r="Z39" i="1"/>
  <c r="Z37" i="1"/>
  <c r="Z36" i="1"/>
  <c r="Z34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6" i="1"/>
  <c r="Z6" i="1"/>
  <c r="Z67" i="1" l="1"/>
  <c r="Z10" i="1"/>
  <c r="Z9" i="1" s="1"/>
  <c r="Z7" i="1"/>
  <c r="Z50" i="1" l="1"/>
  <c r="Z52" i="1" s="1"/>
  <c r="Z11" i="1"/>
  <c r="Z8" i="1" s="1"/>
  <c r="Y5" i="1"/>
  <c r="Y16" i="1"/>
  <c r="Y67" i="1"/>
  <c r="Y29" i="1"/>
  <c r="Y25" i="1"/>
  <c r="Y24" i="1"/>
  <c r="Y18" i="1"/>
  <c r="Y10" i="1"/>
  <c r="Y9" i="1" s="1"/>
  <c r="Y7" i="1"/>
  <c r="Y50" i="1" l="1"/>
  <c r="Y52" i="1" s="1"/>
  <c r="Y11" i="1"/>
  <c r="Y8" i="1" s="1"/>
  <c r="X24" i="1"/>
  <c r="X5" i="1"/>
  <c r="X7" i="1" s="1"/>
  <c r="X63" i="1"/>
  <c r="X67" i="1" s="1"/>
  <c r="X29" i="1"/>
  <c r="X25" i="1"/>
  <c r="X18" i="1"/>
  <c r="X16" i="1"/>
  <c r="X10" i="1"/>
  <c r="X9" i="1" s="1"/>
  <c r="X50" i="1" l="1"/>
  <c r="X52" i="1" s="1"/>
  <c r="X11" i="1"/>
  <c r="X8" i="1" s="1"/>
  <c r="W63" i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29" i="1"/>
  <c r="V25" i="1"/>
  <c r="V18" i="1"/>
  <c r="V67" i="1"/>
  <c r="V9" i="1"/>
  <c r="U18" i="1"/>
  <c r="U5" i="1"/>
  <c r="V8" i="1" l="1"/>
  <c r="V50" i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<sst xmlns="http://schemas.openxmlformats.org/spreadsheetml/2006/main" count="224" uniqueCount="141">
  <si>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</si>
  <si>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</si>
  <si>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</si>
  <si>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</si>
  <si>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</si>
  <si>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</si>
  <si>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</si>
  <si>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</si>
  <si>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</si>
  <si>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</si>
  <si>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</si>
  <si>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</si>
  <si>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</si>
  <si>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</si>
  <si>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</si>
  <si>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</si>
  <si>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</si>
  <si>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</si>
  <si>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</si>
  <si>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</si>
  <si>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</si>
  <si>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</si>
  <si>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</si>
  <si>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</si>
  <si>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</si>
  <si>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</si>
  <si>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</si>
  <si>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</si>
  <si>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</si>
  <si>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</si>
  <si>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</si>
  <si>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</si>
  <si>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</si>
  <si>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</si>
  <si>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</si>
  <si>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</si>
  <si>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</si>
  <si>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</si>
  <si>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</si>
  <si>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</si>
  <si>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</si>
  <si>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</si>
  <si>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</si>
  <si>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</si>
  <si>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</si>
  <si>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</si>
  <si>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</si>
  <si>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</si>
  <si>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</si>
  <si>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</si>
  <si>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</si>
  <si>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</si>
  <si>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</si>
  <si>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</si>
  <si>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</si>
  <si>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</si>
  <si>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</si>
  <si>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</si>
  <si>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</si>
  <si>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</si>
  <si>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</si>
  <si>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</si>
  <si>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</si>
  <si>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</si>
  <si>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</si>
  <si>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</si>
  <si>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</si>
  <si>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</si>
  <si>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</si>
  <si>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</si>
  <si>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</si>
  <si>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</si>
  <si>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</si>
  <si>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</si>
  <si>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</si>
  <si>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</si>
  <si>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</si>
  <si>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</si>
  <si>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</si>
  <si>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</si>
  <si>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</si>
  <si>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</si>
  <si>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</si>
  <si>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</si>
  <si>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</si>
  <si>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</si>
  <si>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</si>
  <si>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</si>
  <si>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</si>
  <si>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</si>
  <si>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</si>
  <si>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</si>
  <si>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</si>
  <si>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</si>
  <si>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</si>
  <si>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</si>
  <si>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</si>
  <si>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</si>
  <si>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</si>
  <si>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</si>
  <si>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</si>
  <si>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</si>
  <si>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</si>
  <si>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</si>
  <si>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</si>
  <si>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</si>
  <si>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</si>
  <si>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</si>
  <si>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</si>
  <si>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</si>
  <si>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</si>
  <si>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</si>
  <si>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</si>
  <si>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</si>
  <si>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</si>
  <si>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</si>
  <si>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</si>
  <si>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</si>
  <si>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</si>
  <si>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</si>
  <si>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</si>
  <si>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</si>
  <si>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</si>
  <si>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</si>
  <si>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</si>
  <si>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</si>
  <si>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</si>
  <si>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</si>
  <si>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</si>
  <si>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</si>
  <si>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</si>
  <si>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</si>
  <si>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</si>
  <si>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</si>
  <si>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</si>
  <si>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C</t>
  </si>
  <si>
    <t>BCDC  - Reserve Requirement- 8879</t>
  </si>
  <si>
    <r>
      <t xml:space="preserve">Bank Account (s)- </t>
    </r>
    <r>
      <rPr>
        <sz val="24"/>
        <rFont val="Calibri"/>
        <family val="2"/>
        <scheme val="minor"/>
      </rPr>
      <t>7941,5538</t>
    </r>
    <r>
      <rPr>
        <sz val="24"/>
        <color theme="1"/>
        <rFont val="Calibri"/>
        <family val="2"/>
        <scheme val="minor"/>
      </rPr>
      <t>,3534,7866,2015,4557,9179,1231,6115,9740,9732</t>
    </r>
  </si>
  <si>
    <t>We received BT's April payment on 5/22/17  which was approximately $177K- normally we expect a month lag of BT owing between $130,000 and $200,000</t>
  </si>
  <si>
    <t>The increase in cash is primarily due to the Neighborly Bond closing, and receipt of School's retirement contribution for Q1-Q3</t>
  </si>
  <si>
    <t xml:space="preserve">We received School's retirement contributions for Q1-Q3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</si>
</sst>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43" fontId="9" fillId="0" borderId="10" xfId="1" applyNumberFormat="1" applyFont="1" applyFill="1" applyBorder="1"/>
    <xf numFmtId="164" fontId="2" fillId="0" borderId="9" xfId="1" applyNumberFormat="1" applyFont="1" applyFill="1" applyBorder="1"/>
    <xf numFmtId="164" fontId="9" fillId="3" borderId="6" xfId="1" applyNumberFormat="1" applyFont="1" applyFill="1" applyBorder="1"/>
    <xf numFmtId="164" fontId="9" fillId="0" borderId="6" xfId="1" applyNumberFormat="1" applyFont="1" applyFill="1" applyBorder="1"/>
    <xf numFmtId="0" fontId="15" fillId="2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9" fillId="0" borderId="5" xfId="1" applyNumberFormat="1" applyFont="1" applyFill="1" applyBorder="1"/>
    <xf numFmtId="0" fontId="0" fillId="0" borderId="0" xfId="0" applyFill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abSelected="1" zoomScale="51" zoomScaleNormal="51" workbookViewId="0">
      <pane xSplit="1" topLeftCell="B1" activePane="topRight" state="frozen"/>
      <selection activeCell="A43" sqref="A43"/>
      <selection pane="topRight" activeCell="B75" sqref="B75"/>
    </sheetView>
  </sheetViews>
  <sheetFormatPr defaultColWidth="8.85546875" defaultRowHeight="31.5" x14ac:dyDescent="0.5"/>
  <cols>
    <col min="1" max="1" width="32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9" width="26.85546875" style="5" bestFit="1" customWidth="1"/>
    <col min="30" max="30" width="16.7109375" style="1" customWidth="1"/>
    <col min="31" max="16384" width="8.85546875" style="1"/>
  </cols>
  <sheetData>
    <row r="1" spans="1:30" x14ac:dyDescent="0.5">
      <c r="A1" s="63" t="s">
        <v>121</v>
      </c>
      <c r="B1" s="63"/>
      <c r="C1" s="63"/>
      <c r="D1" s="63"/>
      <c r="E1" s="63"/>
      <c r="F1" s="3"/>
      <c r="G1" s="3"/>
      <c r="H1" s="3"/>
    </row>
    <row r="2" spans="1:30" x14ac:dyDescent="0.5">
      <c r="A2" s="63" t="s">
        <v>0</v>
      </c>
      <c r="B2" s="63"/>
      <c r="C2" s="63"/>
      <c r="D2" s="63"/>
      <c r="E2" s="63"/>
    </row>
    <row r="3" spans="1:30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</row>
    <row r="4" spans="1:30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30" x14ac:dyDescent="0.5">
      <c r="A5" s="14">
        <v>101</v>
      </c>
      <c r="B5" s="15"/>
      <c r="C5" s="15" t="s">
        <v>7</v>
      </c>
      <c r="D5" s="15" t="s">
        <v>102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</row>
    <row r="6" spans="1:30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101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3">
        <f>6942201.85</f>
        <v>6942201.8499999996</v>
      </c>
      <c r="AA6" s="53">
        <v>4942051.8499999996</v>
      </c>
      <c r="AB6" s="53">
        <f>2942201.85</f>
        <v>2942201.85</v>
      </c>
      <c r="AC6" s="53">
        <f>1644193.55</f>
        <v>1644193.55</v>
      </c>
    </row>
    <row r="7" spans="1:30" ht="32.25" thickBot="1" x14ac:dyDescent="0.55000000000000004">
      <c r="A7" s="14"/>
      <c r="B7" s="15"/>
      <c r="C7" s="15"/>
      <c r="D7" s="15"/>
      <c r="E7" s="10" t="s">
        <v>73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21">
        <f t="shared" ref="X7:Y7" si="8">SUM(X5:X6)</f>
        <v>30036876.960000001</v>
      </c>
      <c r="Y7" s="21">
        <f t="shared" si="8"/>
        <v>13821911.57</v>
      </c>
      <c r="Z7" s="54">
        <f t="shared" ref="Z7" si="9">SUM(Z5:Z6)</f>
        <v>12772573.65</v>
      </c>
      <c r="AA7" s="55">
        <f t="shared" ref="AA7" si="10">SUM(AA5:AA6)</f>
        <v>10874968.67</v>
      </c>
      <c r="AB7" s="55">
        <f t="shared" ref="AB7" si="11">SUM(AB5:AB6)</f>
        <v>8797845.5600000005</v>
      </c>
      <c r="AC7" s="55">
        <f t="shared" ref="AC7" si="12">SUM(AC5:AC6)</f>
        <v>14950169.029999999</v>
      </c>
      <c r="AD7" s="33" t="s">
        <v>109</v>
      </c>
    </row>
    <row r="8" spans="1:30" ht="32.25" thickTop="1" x14ac:dyDescent="0.5">
      <c r="A8" s="14"/>
      <c r="B8" s="15"/>
      <c r="C8" s="15"/>
      <c r="D8" s="15"/>
      <c r="E8" s="10" t="s">
        <v>110</v>
      </c>
      <c r="F8" s="23"/>
      <c r="G8" s="24" t="e">
        <f t="shared" ref="G8:L8" si="13">G11/G9</f>
        <v>#DIV/0!</v>
      </c>
      <c r="H8" s="24">
        <f t="shared" si="13"/>
        <v>73.648093415359426</v>
      </c>
      <c r="I8" s="24">
        <f t="shared" si="13"/>
        <v>77.365903183315751</v>
      </c>
      <c r="J8" s="24">
        <f t="shared" si="13"/>
        <v>76.609913028115827</v>
      </c>
      <c r="K8" s="24">
        <f t="shared" si="13"/>
        <v>74.979399049813907</v>
      </c>
      <c r="L8" s="24">
        <f t="shared" si="13"/>
        <v>65.008289034046172</v>
      </c>
      <c r="M8" s="24">
        <f t="shared" ref="M8:R8" si="14">M11/M9</f>
        <v>52.75805413728412</v>
      </c>
      <c r="N8" s="24">
        <f t="shared" si="14"/>
        <v>45.795992947341794</v>
      </c>
      <c r="O8" s="24">
        <f t="shared" si="14"/>
        <v>37.329249873740956</v>
      </c>
      <c r="P8" s="24">
        <f t="shared" si="14"/>
        <v>41.39006233145934</v>
      </c>
      <c r="Q8" s="24">
        <f t="shared" si="14"/>
        <v>34.021571226211613</v>
      </c>
      <c r="R8" s="24">
        <f t="shared" si="14"/>
        <v>46.523925736631483</v>
      </c>
      <c r="S8" s="24">
        <f t="shared" ref="S8:T8" si="15">S11/S9</f>
        <v>111.17507752172523</v>
      </c>
      <c r="T8" s="24">
        <f t="shared" si="15"/>
        <v>104.97063314816323</v>
      </c>
      <c r="U8" s="24">
        <f t="shared" ref="U8" si="16">U11/U9</f>
        <v>107.94078073658282</v>
      </c>
      <c r="V8" s="24">
        <f t="shared" ref="V8" si="17">V11/V9</f>
        <v>88.361875761606726</v>
      </c>
      <c r="W8" s="24">
        <f t="shared" ref="W8" si="18">W11/W9</f>
        <v>104.51108439607712</v>
      </c>
      <c r="X8" s="24">
        <f t="shared" ref="X8:Y8" si="19">X11/X9</f>
        <v>169.85753148569486</v>
      </c>
      <c r="Y8" s="24">
        <f t="shared" si="19"/>
        <v>84.295764377026543</v>
      </c>
      <c r="Z8" s="24">
        <f t="shared" ref="Z8" si="20">Z11/Z9</f>
        <v>82.047913179097179</v>
      </c>
      <c r="AA8" s="26">
        <f t="shared" ref="AA8" si="21">AA11/AA9</f>
        <v>70.180984915099486</v>
      </c>
      <c r="AB8" s="26">
        <f t="shared" ref="AB8" si="22">AB11/AB9</f>
        <v>55.745578705367031</v>
      </c>
      <c r="AC8" s="26">
        <f t="shared" ref="AC8" si="23">AC11/AC9</f>
        <v>81.462235898518983</v>
      </c>
    </row>
    <row r="9" spans="1:30" hidden="1" x14ac:dyDescent="0.5">
      <c r="A9" s="14"/>
      <c r="B9" s="15"/>
      <c r="C9" s="15"/>
      <c r="D9" s="15"/>
      <c r="E9" s="10" t="s">
        <v>110</v>
      </c>
      <c r="F9" s="23"/>
      <c r="G9" s="24"/>
      <c r="H9" s="25">
        <f t="shared" ref="H9:L9" si="24">H10/365</f>
        <v>213976.25205479452</v>
      </c>
      <c r="I9" s="25">
        <f t="shared" si="24"/>
        <v>213976.25205479452</v>
      </c>
      <c r="J9" s="25">
        <f t="shared" si="24"/>
        <v>213976.25205479452</v>
      </c>
      <c r="K9" s="25">
        <f t="shared" si="24"/>
        <v>213976.25205479452</v>
      </c>
      <c r="L9" s="25">
        <f t="shared" si="24"/>
        <v>213976.25205479452</v>
      </c>
      <c r="M9" s="25">
        <f t="shared" ref="M9:AC9" si="25">M10/365</f>
        <v>213976.25205479452</v>
      </c>
      <c r="N9" s="25">
        <f t="shared" si="25"/>
        <v>213976.25205479452</v>
      </c>
      <c r="O9" s="25">
        <f t="shared" si="25"/>
        <v>213976.25205479452</v>
      </c>
      <c r="P9" s="25">
        <f t="shared" si="25"/>
        <v>213976.25205479452</v>
      </c>
      <c r="Q9" s="24">
        <f t="shared" si="25"/>
        <v>213976.25205479452</v>
      </c>
      <c r="R9" s="25">
        <f t="shared" si="25"/>
        <v>213976.25205479452</v>
      </c>
      <c r="S9" s="25">
        <f t="shared" si="25"/>
        <v>213976.25205479452</v>
      </c>
      <c r="T9" s="25">
        <f t="shared" si="25"/>
        <v>218255.7770958904</v>
      </c>
      <c r="U9" s="25">
        <f t="shared" si="25"/>
        <v>218255.7770958904</v>
      </c>
      <c r="V9" s="25">
        <f t="shared" si="25"/>
        <v>218255.7770958904</v>
      </c>
      <c r="W9" s="25">
        <f t="shared" si="25"/>
        <v>218255.7770958904</v>
      </c>
      <c r="X9" s="25">
        <f t="shared" si="25"/>
        <v>218255.7770958904</v>
      </c>
      <c r="Y9" s="25">
        <f t="shared" si="25"/>
        <v>218255.7770958904</v>
      </c>
      <c r="Z9" s="52">
        <f t="shared" si="25"/>
        <v>218255.7770958904</v>
      </c>
      <c r="AA9" s="52">
        <f t="shared" si="25"/>
        <v>218255.7770958904</v>
      </c>
      <c r="AB9" s="52">
        <f t="shared" si="25"/>
        <v>218255.7770958904</v>
      </c>
      <c r="AC9" s="52">
        <f t="shared" si="25"/>
        <v>218255.7770958904</v>
      </c>
    </row>
    <row r="10" spans="1:30" hidden="1" x14ac:dyDescent="0.5">
      <c r="A10" s="14"/>
      <c r="B10" s="15"/>
      <c r="C10" s="15"/>
      <c r="D10" s="15"/>
      <c r="E10" s="10" t="s">
        <v>111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AC10" si="26">78101332*1.02</f>
        <v>79663358.640000001</v>
      </c>
      <c r="V10" s="24">
        <f t="shared" si="26"/>
        <v>79663358.640000001</v>
      </c>
      <c r="W10" s="24">
        <f t="shared" si="26"/>
        <v>79663358.640000001</v>
      </c>
      <c r="X10" s="24">
        <f t="shared" si="26"/>
        <v>79663358.640000001</v>
      </c>
      <c r="Y10" s="24">
        <f t="shared" si="26"/>
        <v>79663358.640000001</v>
      </c>
      <c r="Z10" s="26">
        <f t="shared" si="26"/>
        <v>79663358.640000001</v>
      </c>
      <c r="AA10" s="26">
        <f t="shared" si="26"/>
        <v>79663358.640000001</v>
      </c>
      <c r="AB10" s="26">
        <f t="shared" si="26"/>
        <v>79663358.640000001</v>
      </c>
      <c r="AC10" s="26">
        <f t="shared" si="26"/>
        <v>79663358.640000001</v>
      </c>
    </row>
    <row r="11" spans="1:30" hidden="1" x14ac:dyDescent="0.5">
      <c r="A11" s="14"/>
      <c r="B11" s="15"/>
      <c r="C11" s="15"/>
      <c r="D11" s="15"/>
      <c r="E11" s="10" t="s">
        <v>112</v>
      </c>
      <c r="F11" s="23"/>
      <c r="G11" s="24"/>
      <c r="H11" s="24">
        <f t="shared" ref="H11:L11" si="27">H7+SUM(H18:H22)+H13</f>
        <v>15758943</v>
      </c>
      <c r="I11" s="24">
        <f t="shared" si="27"/>
        <v>16554466</v>
      </c>
      <c r="J11" s="24">
        <f t="shared" si="27"/>
        <v>16392702.059999999</v>
      </c>
      <c r="K11" s="24">
        <f t="shared" si="27"/>
        <v>16043810.790000001</v>
      </c>
      <c r="L11" s="24">
        <f t="shared" si="27"/>
        <v>13910230.039999999</v>
      </c>
      <c r="M11" s="24">
        <f t="shared" ref="M11:R11" si="28">M7+SUM(M18:M22)+M13</f>
        <v>11288970.690000001</v>
      </c>
      <c r="N11" s="24">
        <f t="shared" si="28"/>
        <v>9799254.9299999997</v>
      </c>
      <c r="O11" s="24">
        <f t="shared" si="28"/>
        <v>7987572.9800000004</v>
      </c>
      <c r="P11" s="24">
        <f t="shared" si="28"/>
        <v>8856490.4100000001</v>
      </c>
      <c r="Q11" s="24">
        <f t="shared" si="28"/>
        <v>7279808.3000000007</v>
      </c>
      <c r="R11" s="24">
        <f t="shared" si="28"/>
        <v>9955015.2599999998</v>
      </c>
      <c r="S11" s="24">
        <f t="shared" ref="S11:T11" si="29">S7+SUM(S18:S22)+S13</f>
        <v>23788826.409999996</v>
      </c>
      <c r="T11" s="24">
        <f t="shared" si="29"/>
        <v>22910447.109999999</v>
      </c>
      <c r="U11" s="24">
        <f t="shared" ref="U11" si="30">U7+SUM(U18:U22)+U13</f>
        <v>23558698.98</v>
      </c>
      <c r="V11" s="24">
        <f t="shared" ref="V11" si="31">V7+SUM(V18:V22)+V13</f>
        <v>19285489.859999999</v>
      </c>
      <c r="W11" s="24">
        <f t="shared" ref="W11" si="32">W7+SUM(W18:W22)+W13</f>
        <v>22810147.939999998</v>
      </c>
      <c r="X11" s="24">
        <f t="shared" ref="X11:Y11" si="33">X7+SUM(X18:X22)+X13</f>
        <v>37072387.530000001</v>
      </c>
      <c r="Y11" s="24">
        <f t="shared" si="33"/>
        <v>18398037.560000002</v>
      </c>
      <c r="Z11" s="26">
        <f t="shared" ref="Z11" si="34">Z7+SUM(Z18:Z22)+Z13</f>
        <v>17907431.050000001</v>
      </c>
      <c r="AA11" s="26">
        <f t="shared" ref="AA11" si="35">AA7+SUM(AA18:AA22)+AA13</f>
        <v>15317405.4</v>
      </c>
      <c r="AB11" s="26">
        <f t="shared" ref="AB11" si="36">AB7+SUM(AB18:AB22)+AB13</f>
        <v>12166794.600000001</v>
      </c>
      <c r="AC11" s="26">
        <f t="shared" ref="AC11" si="37">AC7+SUM(AC18:AC22)+AC13</f>
        <v>17779603.600000001</v>
      </c>
    </row>
    <row r="12" spans="1:30" hidden="1" x14ac:dyDescent="0.5">
      <c r="A12" s="14"/>
      <c r="B12" s="15"/>
      <c r="C12" s="15"/>
      <c r="D12" s="15"/>
      <c r="E12" s="10" t="s">
        <v>113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  <c r="AA12" s="26"/>
      <c r="AB12" s="26"/>
      <c r="AC12" s="26"/>
    </row>
    <row r="13" spans="1:30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</row>
    <row r="14" spans="1:30" ht="2.4500000000000002" customHeight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</row>
    <row r="15" spans="1:30" s="62" customFormat="1" x14ac:dyDescent="0.5">
      <c r="A15" s="57"/>
      <c r="B15" s="58"/>
      <c r="C15" s="58"/>
      <c r="D15" s="58"/>
      <c r="E15" s="59" t="s">
        <v>124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1">
        <v>65</v>
      </c>
      <c r="Y15" s="61">
        <v>53</v>
      </c>
      <c r="Z15" s="61">
        <v>46</v>
      </c>
      <c r="AA15" s="61">
        <v>37</v>
      </c>
      <c r="AB15" s="61">
        <v>41</v>
      </c>
      <c r="AC15" s="61">
        <v>34</v>
      </c>
    </row>
    <row r="16" spans="1:30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127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  <c r="X16" s="17">
        <f>5415598.36</f>
        <v>5415598.3600000003</v>
      </c>
      <c r="Y16" s="17">
        <f>5850993.01-186169</f>
        <v>5664824.0099999998</v>
      </c>
      <c r="Z16" s="17">
        <f>6018922.33</f>
        <v>6018922.3300000001</v>
      </c>
      <c r="AA16" s="17">
        <f>6711924.3-478906.08</f>
        <v>6233018.2199999997</v>
      </c>
      <c r="AB16" s="17">
        <f>6200055.13+3295.34</f>
        <v>6203350.4699999997</v>
      </c>
      <c r="AC16" s="17">
        <f>6744422.02-462707.79</f>
        <v>6281714.2299999995</v>
      </c>
    </row>
    <row r="17" spans="1:30" hidden="1" x14ac:dyDescent="0.5">
      <c r="A17" s="14" t="s">
        <v>16</v>
      </c>
      <c r="B17" s="15" t="s">
        <v>17</v>
      </c>
      <c r="C17" s="15" t="s">
        <v>18</v>
      </c>
      <c r="D17" s="15" t="s">
        <v>8</v>
      </c>
      <c r="E17" s="16" t="s">
        <v>108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</row>
    <row r="18" spans="1:30" x14ac:dyDescent="0.5">
      <c r="A18" s="14" t="s">
        <v>19</v>
      </c>
      <c r="B18" s="15" t="s">
        <v>20</v>
      </c>
      <c r="C18" s="15" t="s">
        <v>21</v>
      </c>
      <c r="D18" s="15" t="s">
        <v>118</v>
      </c>
      <c r="E18" s="16" t="s">
        <v>103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17">
        <f>1211699.92+3.81</f>
        <v>1211703.73</v>
      </c>
      <c r="Y18" s="17">
        <f>1878198.31+80738.9</f>
        <v>1958937.21</v>
      </c>
      <c r="Z18" s="17">
        <f>1725893.99+6.02+435374.52</f>
        <v>2161274.5300000003</v>
      </c>
      <c r="AA18" s="17">
        <f>2073134.37+118243.17-385590.36</f>
        <v>1805787.1800000002</v>
      </c>
      <c r="AB18" s="17">
        <f>3.89+1238614.78+16156.8</f>
        <v>1254775.47</v>
      </c>
      <c r="AC18" s="17">
        <f>952246.2-236985.2</f>
        <v>715261</v>
      </c>
    </row>
    <row r="19" spans="1:30" x14ac:dyDescent="0.5">
      <c r="A19" s="14" t="s">
        <v>22</v>
      </c>
      <c r="B19" s="15" t="s">
        <v>23</v>
      </c>
      <c r="C19" s="15" t="s">
        <v>24</v>
      </c>
      <c r="D19" s="15" t="s">
        <v>79</v>
      </c>
      <c r="E19" s="16" t="s">
        <v>126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  <c r="X19" s="17">
        <v>3333419.34</v>
      </c>
      <c r="Y19" s="17">
        <v>126801.28</v>
      </c>
      <c r="Z19" s="17">
        <f>483195.37</f>
        <v>483195.37</v>
      </c>
      <c r="AA19" s="17">
        <f>483195.37</f>
        <v>483195.37</v>
      </c>
      <c r="AB19" s="17">
        <v>0</v>
      </c>
      <c r="AC19" s="17">
        <v>0</v>
      </c>
    </row>
    <row r="20" spans="1:30" x14ac:dyDescent="0.5">
      <c r="A20" s="14">
        <v>235</v>
      </c>
      <c r="B20" s="15" t="s">
        <v>15</v>
      </c>
      <c r="C20" s="15" t="s">
        <v>25</v>
      </c>
      <c r="D20" s="15" t="s">
        <v>12</v>
      </c>
      <c r="E20" s="16" t="s">
        <v>128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  <c r="X20" s="13">
        <v>1597463.74</v>
      </c>
      <c r="Y20" s="13">
        <v>1597463.74</v>
      </c>
      <c r="Z20" s="17">
        <f>1597463.74</f>
        <v>1597463.74</v>
      </c>
      <c r="AA20" s="17">
        <f>1597463.74</f>
        <v>1597463.74</v>
      </c>
      <c r="AB20" s="17">
        <f>1597463.74</f>
        <v>1597463.74</v>
      </c>
      <c r="AC20" s="17">
        <f>1597463.74</f>
        <v>1597463.74</v>
      </c>
    </row>
    <row r="21" spans="1:30" x14ac:dyDescent="0.5">
      <c r="A21" s="14">
        <v>700</v>
      </c>
      <c r="B21" s="15" t="s">
        <v>26</v>
      </c>
      <c r="C21" s="15" t="s">
        <v>27</v>
      </c>
      <c r="D21" s="15" t="s">
        <v>12</v>
      </c>
      <c r="E21" s="16" t="s">
        <v>84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  <c r="X21" s="13">
        <v>46129</v>
      </c>
      <c r="Y21" s="13">
        <v>46129</v>
      </c>
      <c r="Z21" s="17">
        <f>46129</f>
        <v>46129</v>
      </c>
      <c r="AA21" s="17">
        <f>46129</f>
        <v>46129</v>
      </c>
      <c r="AB21" s="17">
        <f>46129</f>
        <v>46129</v>
      </c>
      <c r="AC21" s="17">
        <f>46129</f>
        <v>46129</v>
      </c>
    </row>
    <row r="22" spans="1:30" x14ac:dyDescent="0.5">
      <c r="A22" s="14">
        <v>201</v>
      </c>
      <c r="B22" s="15" t="s">
        <v>28</v>
      </c>
      <c r="C22" s="15" t="s">
        <v>29</v>
      </c>
      <c r="D22" s="15" t="s">
        <v>12</v>
      </c>
      <c r="E22" s="16" t="s">
        <v>85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  <c r="X22" s="13">
        <v>846794.76</v>
      </c>
      <c r="Y22" s="13">
        <v>846794.76</v>
      </c>
      <c r="Z22" s="17">
        <f>846794.76</f>
        <v>846794.76</v>
      </c>
      <c r="AA22" s="17">
        <f>846794.76-336933.32</f>
        <v>509861.44</v>
      </c>
      <c r="AB22" s="17">
        <f>509861.44-39280.61</f>
        <v>470580.83</v>
      </c>
      <c r="AC22" s="17">
        <f>470580.83</f>
        <v>470580.83</v>
      </c>
    </row>
    <row r="23" spans="1:30" x14ac:dyDescent="0.5">
      <c r="A23" s="14">
        <v>700</v>
      </c>
      <c r="B23" s="15" t="s">
        <v>30</v>
      </c>
      <c r="C23" s="15" t="s">
        <v>27</v>
      </c>
      <c r="D23" s="15" t="s">
        <v>12</v>
      </c>
      <c r="E23" s="16" t="s">
        <v>86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  <c r="X23" s="13">
        <v>153484</v>
      </c>
      <c r="Y23" s="13">
        <v>153484</v>
      </c>
      <c r="Z23" s="17">
        <f>153484</f>
        <v>153484</v>
      </c>
      <c r="AA23" s="17">
        <f>153484</f>
        <v>153484</v>
      </c>
      <c r="AB23" s="17">
        <f>153484</f>
        <v>153484</v>
      </c>
      <c r="AC23" s="17">
        <f>153484</f>
        <v>153484</v>
      </c>
    </row>
    <row r="24" spans="1:30" x14ac:dyDescent="0.5">
      <c r="A24" s="14" t="s">
        <v>31</v>
      </c>
      <c r="B24" s="15" t="s">
        <v>32</v>
      </c>
      <c r="C24" s="15" t="s">
        <v>7</v>
      </c>
      <c r="D24" s="15" t="s">
        <v>12</v>
      </c>
      <c r="E24" s="16" t="s">
        <v>116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  <c r="X24" s="13">
        <f>2655818.69+258601.18</f>
        <v>2914419.87</v>
      </c>
      <c r="Y24" s="13">
        <f>2758376.61</f>
        <v>2758376.61</v>
      </c>
      <c r="Z24" s="17">
        <f>2948493.93+87784.34</f>
        <v>3036278.27</v>
      </c>
      <c r="AA24" s="17">
        <f>2931954.37+156939.36</f>
        <v>3088893.73</v>
      </c>
      <c r="AB24" s="17">
        <f>2918462.37+120676.26</f>
        <v>3039138.63</v>
      </c>
      <c r="AC24" s="17">
        <f>3039138.63+43035.82</f>
        <v>3082174.4499999997</v>
      </c>
    </row>
    <row r="25" spans="1:30" x14ac:dyDescent="0.5">
      <c r="A25" s="14" t="s">
        <v>33</v>
      </c>
      <c r="B25" s="15" t="s">
        <v>34</v>
      </c>
      <c r="C25" s="15" t="s">
        <v>35</v>
      </c>
      <c r="D25" s="15" t="s">
        <v>87</v>
      </c>
      <c r="E25" s="16" t="s">
        <v>137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  <c r="X25" s="13">
        <f>284.54+68713.63+45499.52+12897.9+1667.03+1073.15+55767.73+2020857.11</f>
        <v>2206760.6100000003</v>
      </c>
      <c r="Y25" s="13">
        <f>93485.95+68713.63+45499.56+13049.46+1667.03+1364.21+55768.67+2020857.11</f>
        <v>2300405.62</v>
      </c>
      <c r="Z25" s="17">
        <f>13348.16+68713.63+284.54+45499.6+1667.03+1130.27+55769.62+2020857.11</f>
        <v>2207269.96</v>
      </c>
      <c r="AA25" s="17">
        <f>1095.17+1667.03+5842.63+68713.63+49162.75+45499.63+2020857.11+55770.47</f>
        <v>2248608.4200000004</v>
      </c>
      <c r="AB25" s="17">
        <f>1141.91+1667.03+20463.34+68713.63+45499.67+6141.21+4750+879.9+55771.42+2020857.11</f>
        <v>2225885.2200000002</v>
      </c>
      <c r="AC25" s="17">
        <f>6366.22+68713.63+36812.75+45499.71+5903.65+2020857.11+55772.34+70</f>
        <v>2239995.41</v>
      </c>
      <c r="AD25" s="56"/>
    </row>
    <row r="26" spans="1:30" x14ac:dyDescent="0.5">
      <c r="A26" s="14" t="s">
        <v>19</v>
      </c>
      <c r="B26" s="15" t="s">
        <v>36</v>
      </c>
      <c r="C26" s="15" t="s">
        <v>21</v>
      </c>
      <c r="D26" s="15" t="s">
        <v>12</v>
      </c>
      <c r="E26" s="16" t="s">
        <v>88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  <c r="X26" s="13">
        <v>3298208.6</v>
      </c>
      <c r="Y26" s="13">
        <v>3298886.17</v>
      </c>
      <c r="Z26" s="17">
        <f>3299586.55</f>
        <v>3299586.55</v>
      </c>
      <c r="AA26" s="17">
        <v>3300287.07</v>
      </c>
      <c r="AB26" s="17">
        <f>3300919.93</f>
        <v>3300919.93</v>
      </c>
      <c r="AC26" s="17">
        <f>3301340.42</f>
        <v>3301340.42</v>
      </c>
    </row>
    <row r="27" spans="1:30" x14ac:dyDescent="0.5">
      <c r="A27" s="14" t="s">
        <v>19</v>
      </c>
      <c r="B27" s="15" t="s">
        <v>37</v>
      </c>
      <c r="C27" s="15" t="s">
        <v>21</v>
      </c>
      <c r="D27" s="15" t="s">
        <v>12</v>
      </c>
      <c r="E27" s="16" t="s">
        <v>89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  <c r="X27" s="13">
        <v>1595777.38</v>
      </c>
      <c r="Y27" s="13">
        <v>1107594.3500000001</v>
      </c>
      <c r="Z27" s="17">
        <f>1416577.18</f>
        <v>1416577.18</v>
      </c>
      <c r="AA27" s="17">
        <f>1725540.99</f>
        <v>1725540.99</v>
      </c>
      <c r="AB27" s="17">
        <f>2034538.12</f>
        <v>2034538.12</v>
      </c>
      <c r="AC27" s="17">
        <f>2343473.46</f>
        <v>2343473.46</v>
      </c>
    </row>
    <row r="28" spans="1:30" x14ac:dyDescent="0.5">
      <c r="A28" s="14">
        <v>400</v>
      </c>
      <c r="B28" s="15" t="s">
        <v>114</v>
      </c>
      <c r="C28" s="15" t="s">
        <v>21</v>
      </c>
      <c r="D28" s="15" t="s">
        <v>12</v>
      </c>
      <c r="E28" s="16" t="s">
        <v>117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  <c r="X28" s="13">
        <v>183382.1</v>
      </c>
      <c r="Y28" s="13">
        <v>28306.25</v>
      </c>
      <c r="Z28" s="17">
        <f>14453.84</f>
        <v>14453.84</v>
      </c>
      <c r="AA28" s="17">
        <f>21750.38</f>
        <v>21750.38</v>
      </c>
      <c r="AB28" s="17">
        <f>34641.96</f>
        <v>34641.96</v>
      </c>
      <c r="AC28" s="17">
        <f>49982.85</f>
        <v>49982.85</v>
      </c>
    </row>
    <row r="29" spans="1:30" x14ac:dyDescent="0.5">
      <c r="A29" s="14">
        <v>400</v>
      </c>
      <c r="B29" s="15" t="s">
        <v>38</v>
      </c>
      <c r="C29" s="15" t="s">
        <v>21</v>
      </c>
      <c r="D29" s="15" t="s">
        <v>8</v>
      </c>
      <c r="E29" s="16" t="s">
        <v>106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  <c r="X29" s="13">
        <f>363427.55+2548683.38</f>
        <v>2912110.9299999997</v>
      </c>
      <c r="Y29" s="13">
        <f>2138006.76+395703.61</f>
        <v>2533710.3699999996</v>
      </c>
      <c r="Z29" s="17">
        <f>832805+2138564.3</f>
        <v>2971369.3</v>
      </c>
      <c r="AA29" s="17">
        <f>937136.17+2139073.15</f>
        <v>3076209.32</v>
      </c>
      <c r="AB29" s="17">
        <f>2989301.3+412.36</f>
        <v>2989713.6599999997</v>
      </c>
      <c r="AC29" s="17">
        <f>451.59+3036202.81</f>
        <v>3036654.4</v>
      </c>
    </row>
    <row r="30" spans="1:30" x14ac:dyDescent="0.5">
      <c r="A30" s="14" t="s">
        <v>19</v>
      </c>
      <c r="B30" s="15" t="s">
        <v>39</v>
      </c>
      <c r="C30" s="15" t="s">
        <v>21</v>
      </c>
      <c r="D30" s="15" t="s">
        <v>12</v>
      </c>
      <c r="E30" s="16" t="s">
        <v>90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  <c r="X30" s="13">
        <v>488303.41</v>
      </c>
      <c r="Y30" s="13">
        <v>488403.73</v>
      </c>
      <c r="Z30" s="17">
        <f>488507.42</f>
        <v>488507.42</v>
      </c>
      <c r="AA30" s="17">
        <f>488611.13</f>
        <v>488611.13</v>
      </c>
      <c r="AB30" s="17">
        <f>488704.83</f>
        <v>488704.83</v>
      </c>
      <c r="AC30" s="17">
        <f>488767.08</f>
        <v>488767.08</v>
      </c>
    </row>
    <row r="31" spans="1:30" x14ac:dyDescent="0.5">
      <c r="A31" s="14">
        <v>400</v>
      </c>
      <c r="B31" s="15" t="s">
        <v>40</v>
      </c>
      <c r="C31" s="15" t="s">
        <v>21</v>
      </c>
      <c r="D31" s="15" t="s">
        <v>12</v>
      </c>
      <c r="E31" s="16" t="s">
        <v>91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  <c r="X31" s="13">
        <v>3639338.94</v>
      </c>
      <c r="Y31" s="13">
        <v>3719874.82</v>
      </c>
      <c r="Z31" s="17">
        <f>3867148.11</f>
        <v>3867148.11</v>
      </c>
      <c r="AA31" s="17">
        <f>3949041.58</f>
        <v>3949041.58</v>
      </c>
      <c r="AB31" s="17">
        <f>4018103.08</f>
        <v>4018103.08</v>
      </c>
      <c r="AC31" s="17">
        <f>4097146.58</f>
        <v>4097146.58</v>
      </c>
    </row>
    <row r="32" spans="1:30" x14ac:dyDescent="0.5">
      <c r="A32" s="14">
        <v>400</v>
      </c>
      <c r="B32" s="15"/>
      <c r="C32" s="15" t="s">
        <v>21</v>
      </c>
      <c r="D32" s="15" t="s">
        <v>12</v>
      </c>
      <c r="E32" s="16" t="s">
        <v>125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455762.37</v>
      </c>
      <c r="Y32" s="13">
        <v>0</v>
      </c>
      <c r="Z32" s="17">
        <f>48.39</f>
        <v>48.39</v>
      </c>
      <c r="AA32" s="17">
        <f>48.39</f>
        <v>48.39</v>
      </c>
      <c r="AB32" s="17">
        <f>48.39</f>
        <v>48.39</v>
      </c>
      <c r="AC32" s="17">
        <f>48.39</f>
        <v>48.39</v>
      </c>
    </row>
    <row r="33" spans="1:29" hidden="1" x14ac:dyDescent="0.5">
      <c r="A33" s="14" t="s">
        <v>19</v>
      </c>
      <c r="B33" s="15" t="s">
        <v>42</v>
      </c>
      <c r="C33" s="15" t="s">
        <v>21</v>
      </c>
      <c r="D33" s="15" t="s">
        <v>41</v>
      </c>
      <c r="E33" s="16" t="s">
        <v>107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17">
        <v>0</v>
      </c>
      <c r="AA33" s="17">
        <v>0</v>
      </c>
      <c r="AB33" s="17">
        <v>0</v>
      </c>
      <c r="AC33" s="17">
        <v>0</v>
      </c>
    </row>
    <row r="34" spans="1:29" x14ac:dyDescent="0.5">
      <c r="A34" s="14" t="s">
        <v>19</v>
      </c>
      <c r="B34" s="15" t="s">
        <v>43</v>
      </c>
      <c r="C34" s="15" t="s">
        <v>21</v>
      </c>
      <c r="D34" s="15" t="s">
        <v>12</v>
      </c>
      <c r="E34" s="16" t="s">
        <v>104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  <c r="X34" s="17">
        <v>216473.47</v>
      </c>
      <c r="Y34" s="17">
        <v>216517.94</v>
      </c>
      <c r="Z34" s="17">
        <f>216563.91</f>
        <v>216563.91</v>
      </c>
      <c r="AA34" s="17">
        <f>216609.89</f>
        <v>216609.89</v>
      </c>
      <c r="AB34" s="17">
        <f>216651.43</f>
        <v>216651.43</v>
      </c>
      <c r="AC34" s="17">
        <f>216679.03</f>
        <v>216679.03</v>
      </c>
    </row>
    <row r="35" spans="1:29" hidden="1" x14ac:dyDescent="0.5">
      <c r="A35" s="14">
        <v>600</v>
      </c>
      <c r="B35" s="15" t="s">
        <v>44</v>
      </c>
      <c r="C35" s="15" t="s">
        <v>45</v>
      </c>
      <c r="D35" s="15" t="s">
        <v>12</v>
      </c>
      <c r="E35" s="16" t="s">
        <v>92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7">
        <v>0</v>
      </c>
      <c r="AA35" s="17">
        <v>0</v>
      </c>
      <c r="AB35" s="17">
        <v>0</v>
      </c>
      <c r="AC35" s="17">
        <v>0</v>
      </c>
    </row>
    <row r="36" spans="1:29" x14ac:dyDescent="0.5">
      <c r="A36" s="14">
        <v>603</v>
      </c>
      <c r="B36" s="15" t="s">
        <v>46</v>
      </c>
      <c r="C36" s="15" t="s">
        <v>45</v>
      </c>
      <c r="D36" s="15" t="s">
        <v>12</v>
      </c>
      <c r="E36" s="16" t="s">
        <v>93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  <c r="X36" s="13">
        <v>35792.1</v>
      </c>
      <c r="Y36" s="13">
        <v>35792.1</v>
      </c>
      <c r="Z36" s="17">
        <f>35792.1</f>
        <v>35792.1</v>
      </c>
      <c r="AA36" s="17">
        <f>35792.1</f>
        <v>35792.1</v>
      </c>
      <c r="AB36" s="17">
        <f>35792.1</f>
        <v>35792.1</v>
      </c>
      <c r="AC36" s="17">
        <f>35792.1</f>
        <v>35792.1</v>
      </c>
    </row>
    <row r="37" spans="1:29" x14ac:dyDescent="0.5">
      <c r="A37" s="14"/>
      <c r="B37" s="15" t="s">
        <v>46</v>
      </c>
      <c r="C37" s="15" t="s">
        <v>45</v>
      </c>
      <c r="D37" s="15" t="s">
        <v>12</v>
      </c>
      <c r="E37" s="16" t="s">
        <v>94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  <c r="X37" s="13">
        <v>188183</v>
      </c>
      <c r="Y37" s="13">
        <v>188183</v>
      </c>
      <c r="Z37" s="17">
        <f>188183</f>
        <v>188183</v>
      </c>
      <c r="AA37" s="17">
        <f>188183</f>
        <v>188183</v>
      </c>
      <c r="AB37" s="17">
        <f>188183</f>
        <v>188183</v>
      </c>
      <c r="AC37" s="17">
        <f>188183</f>
        <v>188183</v>
      </c>
    </row>
    <row r="38" spans="1:29" x14ac:dyDescent="0.5">
      <c r="A38" s="14">
        <v>605</v>
      </c>
      <c r="B38" s="15" t="s">
        <v>47</v>
      </c>
      <c r="C38" s="15" t="s">
        <v>45</v>
      </c>
      <c r="D38" s="15" t="s">
        <v>8</v>
      </c>
      <c r="E38" s="16" t="s">
        <v>136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  <c r="X38" s="17">
        <v>107</v>
      </c>
      <c r="Y38" s="17">
        <v>7074.07</v>
      </c>
      <c r="Z38" s="17">
        <f>7120.75</f>
        <v>7120.75</v>
      </c>
      <c r="AA38" s="17">
        <f>7120.86</f>
        <v>7120.86</v>
      </c>
      <c r="AB38" s="17">
        <v>0</v>
      </c>
      <c r="AC38" s="17">
        <v>0</v>
      </c>
    </row>
    <row r="39" spans="1:29" x14ac:dyDescent="0.5">
      <c r="A39" s="14">
        <v>101</v>
      </c>
      <c r="B39" s="15" t="s">
        <v>49</v>
      </c>
      <c r="C39" s="15" t="s">
        <v>7</v>
      </c>
      <c r="D39" s="15" t="s">
        <v>12</v>
      </c>
      <c r="E39" s="16" t="s">
        <v>95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  <c r="X39" s="13">
        <v>806492.33</v>
      </c>
      <c r="Y39" s="13">
        <v>781902.33</v>
      </c>
      <c r="Z39" s="17">
        <f>750050.01</f>
        <v>750050.01</v>
      </c>
      <c r="AA39" s="17">
        <f>738930.87</f>
        <v>738930.87</v>
      </c>
      <c r="AB39" s="17">
        <f>755722.45</f>
        <v>755722.45</v>
      </c>
      <c r="AC39" s="17">
        <f>762777.28</f>
        <v>762777.28</v>
      </c>
    </row>
    <row r="40" spans="1:29" x14ac:dyDescent="0.5">
      <c r="A40" s="14" t="s">
        <v>50</v>
      </c>
      <c r="B40" s="15" t="s">
        <v>51</v>
      </c>
      <c r="C40" s="15" t="s">
        <v>27</v>
      </c>
      <c r="D40" s="15" t="s">
        <v>12</v>
      </c>
      <c r="E40" s="16" t="s">
        <v>96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  <c r="X40" s="13">
        <v>140856</v>
      </c>
      <c r="Y40" s="13">
        <v>140856</v>
      </c>
      <c r="Z40" s="17">
        <f>140856</f>
        <v>140856</v>
      </c>
      <c r="AA40" s="17">
        <f>140856</f>
        <v>140856</v>
      </c>
      <c r="AB40" s="17">
        <f>140856</f>
        <v>140856</v>
      </c>
      <c r="AC40" s="17">
        <f>140856</f>
        <v>140856</v>
      </c>
    </row>
    <row r="41" spans="1:29" x14ac:dyDescent="0.5">
      <c r="A41" s="14" t="s">
        <v>10</v>
      </c>
      <c r="B41" s="15" t="s">
        <v>52</v>
      </c>
      <c r="C41" s="15" t="s">
        <v>7</v>
      </c>
      <c r="D41" s="15" t="s">
        <v>8</v>
      </c>
      <c r="E41" s="16" t="s">
        <v>97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  <c r="X41" s="13">
        <v>13581.68</v>
      </c>
      <c r="Y41" s="13">
        <v>13582.6</v>
      </c>
      <c r="Z41" s="17">
        <v>0</v>
      </c>
      <c r="AA41" s="17">
        <v>0</v>
      </c>
      <c r="AB41" s="17">
        <v>0</v>
      </c>
      <c r="AC41" s="17">
        <v>0</v>
      </c>
    </row>
    <row r="42" spans="1:29" x14ac:dyDescent="0.5">
      <c r="A42" s="14">
        <v>101</v>
      </c>
      <c r="B42" s="15" t="s">
        <v>53</v>
      </c>
      <c r="C42" s="15" t="s">
        <v>48</v>
      </c>
      <c r="D42" s="15" t="s">
        <v>120</v>
      </c>
      <c r="E42" s="16" t="s">
        <v>133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  <c r="Z42" s="17">
        <f>1249036.83</f>
        <v>1249036.83</v>
      </c>
      <c r="AA42" s="17">
        <f>1248757.84</f>
        <v>1248757.8400000001</v>
      </c>
      <c r="AB42" s="17">
        <f>1251064.59</f>
        <v>1251064.5900000001</v>
      </c>
      <c r="AC42" s="17">
        <f>1253155.43</f>
        <v>1253155.43</v>
      </c>
    </row>
    <row r="43" spans="1:29" x14ac:dyDescent="0.5">
      <c r="A43" s="14">
        <v>500</v>
      </c>
      <c r="B43" s="15" t="s">
        <v>98</v>
      </c>
      <c r="C43" s="15" t="s">
        <v>48</v>
      </c>
      <c r="D43" s="15" t="s">
        <v>12</v>
      </c>
      <c r="E43" s="16" t="s">
        <v>99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  <c r="Z43" s="17">
        <f>1574.43</f>
        <v>1574.43</v>
      </c>
      <c r="AA43" s="17">
        <f>1574.43</f>
        <v>1574.43</v>
      </c>
      <c r="AB43" s="17">
        <f>1574.43</f>
        <v>1574.43</v>
      </c>
      <c r="AC43" s="17">
        <f>1574.43</f>
        <v>1574.43</v>
      </c>
    </row>
    <row r="44" spans="1:29" x14ac:dyDescent="0.5">
      <c r="A44" s="14">
        <v>101</v>
      </c>
      <c r="B44" s="15" t="s">
        <v>119</v>
      </c>
      <c r="C44" s="15" t="s">
        <v>7</v>
      </c>
      <c r="D44" s="15" t="s">
        <v>120</v>
      </c>
      <c r="E44" s="16" t="s">
        <v>134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  <c r="Z44" s="17">
        <f>2753720</f>
        <v>2753720</v>
      </c>
      <c r="AA44" s="17">
        <f>2754526.2</f>
        <v>2754526.2</v>
      </c>
      <c r="AB44" s="17">
        <f>2745590</f>
        <v>2745590</v>
      </c>
      <c r="AC44" s="17">
        <f>2746430</f>
        <v>2746430</v>
      </c>
    </row>
    <row r="45" spans="1:29" x14ac:dyDescent="0.5">
      <c r="A45" s="14">
        <v>503</v>
      </c>
      <c r="B45" s="15" t="s">
        <v>54</v>
      </c>
      <c r="C45" s="15" t="s">
        <v>48</v>
      </c>
      <c r="D45" s="15" t="s">
        <v>80</v>
      </c>
      <c r="E45" s="16" t="s">
        <v>55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  <c r="Z45" s="17">
        <f>1811.35</f>
        <v>1811.35</v>
      </c>
      <c r="AA45" s="17">
        <f>1811.35</f>
        <v>1811.35</v>
      </c>
      <c r="AB45" s="17">
        <f>1811.35</f>
        <v>1811.35</v>
      </c>
      <c r="AC45" s="17">
        <f>1811.35</f>
        <v>1811.35</v>
      </c>
    </row>
    <row r="46" spans="1:29" x14ac:dyDescent="0.5">
      <c r="A46" s="14">
        <v>504</v>
      </c>
      <c r="B46" s="15" t="s">
        <v>56</v>
      </c>
      <c r="C46" s="15" t="s">
        <v>48</v>
      </c>
      <c r="D46" s="15" t="s">
        <v>81</v>
      </c>
      <c r="E46" s="16" t="s">
        <v>130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  <c r="Z46" s="17">
        <f>1619.79</f>
        <v>1619.79</v>
      </c>
      <c r="AA46" s="17">
        <f>1619.79</f>
        <v>1619.79</v>
      </c>
      <c r="AB46" s="17">
        <f>1619.79</f>
        <v>1619.79</v>
      </c>
      <c r="AC46" s="17">
        <f>1619.79</f>
        <v>1619.79</v>
      </c>
    </row>
    <row r="47" spans="1:29" x14ac:dyDescent="0.5">
      <c r="A47" s="14">
        <v>505</v>
      </c>
      <c r="B47" s="15" t="s">
        <v>57</v>
      </c>
      <c r="C47" s="15" t="s">
        <v>48</v>
      </c>
      <c r="D47" s="15" t="s">
        <v>82</v>
      </c>
      <c r="E47" s="16" t="s">
        <v>129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  <c r="Z47" s="17">
        <f>11241.97</f>
        <v>11241.97</v>
      </c>
      <c r="AA47" s="17">
        <f>11241.98</f>
        <v>11241.98</v>
      </c>
      <c r="AB47" s="17">
        <f>11241.99</f>
        <v>11241.99</v>
      </c>
      <c r="AC47" s="17">
        <f>11242</f>
        <v>11242</v>
      </c>
    </row>
    <row r="48" spans="1:29" x14ac:dyDescent="0.5">
      <c r="A48" s="14">
        <v>506</v>
      </c>
      <c r="B48" s="15" t="s">
        <v>58</v>
      </c>
      <c r="C48" s="15" t="s">
        <v>48</v>
      </c>
      <c r="D48" s="15" t="s">
        <v>105</v>
      </c>
      <c r="E48" s="16" t="s">
        <v>131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  <c r="Z48" s="17">
        <f>628.43</f>
        <v>628.42999999999995</v>
      </c>
      <c r="AA48" s="17">
        <f>628.43</f>
        <v>628.42999999999995</v>
      </c>
      <c r="AB48" s="17">
        <f>628.43</f>
        <v>628.42999999999995</v>
      </c>
      <c r="AC48" s="17">
        <f>628.43</f>
        <v>628.42999999999995</v>
      </c>
    </row>
    <row r="49" spans="1:30" x14ac:dyDescent="0.5">
      <c r="A49" s="14">
        <v>507</v>
      </c>
      <c r="B49" s="15" t="s">
        <v>59</v>
      </c>
      <c r="C49" s="15" t="s">
        <v>48</v>
      </c>
      <c r="D49" s="15" t="s">
        <v>83</v>
      </c>
      <c r="E49" s="16" t="s">
        <v>132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  <c r="Z49" s="17">
        <f>28087.96</f>
        <v>28087.96</v>
      </c>
      <c r="AA49" s="17">
        <f>28087.98</f>
        <v>28087.98</v>
      </c>
      <c r="AB49" s="17">
        <f>28088</f>
        <v>28088</v>
      </c>
      <c r="AC49" s="17">
        <f>28088.03</f>
        <v>28088.03</v>
      </c>
    </row>
    <row r="50" spans="1:30" ht="32.25" thickBot="1" x14ac:dyDescent="0.55000000000000004">
      <c r="A50" s="27"/>
      <c r="B50" s="28"/>
      <c r="C50" s="28"/>
      <c r="D50" s="28"/>
      <c r="E50" s="10" t="s">
        <v>74</v>
      </c>
      <c r="F50" s="20">
        <f t="shared" ref="F50:O50" si="38">SUM(F16:F49)</f>
        <v>21211938.469999999</v>
      </c>
      <c r="G50" s="20">
        <f t="shared" si="38"/>
        <v>21139454.819999997</v>
      </c>
      <c r="H50" s="20">
        <f t="shared" si="38"/>
        <v>19363670.75</v>
      </c>
      <c r="I50" s="20">
        <f t="shared" si="38"/>
        <v>19727514</v>
      </c>
      <c r="J50" s="20">
        <f t="shared" si="38"/>
        <v>20062756.390000004</v>
      </c>
      <c r="K50" s="20">
        <f t="shared" si="38"/>
        <v>20167836.600000001</v>
      </c>
      <c r="L50" s="20">
        <f t="shared" si="38"/>
        <v>22468394.539999999</v>
      </c>
      <c r="M50" s="20">
        <f t="shared" si="38"/>
        <v>23882701.289999995</v>
      </c>
      <c r="N50" s="20">
        <f t="shared" si="38"/>
        <v>23939104.210000005</v>
      </c>
      <c r="O50" s="20">
        <f t="shared" si="38"/>
        <v>24527959.140000004</v>
      </c>
      <c r="P50" s="20">
        <f t="shared" ref="P50:R50" si="39">SUM(P16:P49)</f>
        <v>24601153.890000004</v>
      </c>
      <c r="Q50" s="29">
        <f t="shared" ref="Q50" si="40">SUM(Q16:Q49)</f>
        <v>23814235.760000005</v>
      </c>
      <c r="R50" s="20">
        <f t="shared" si="39"/>
        <v>27537592.719999995</v>
      </c>
      <c r="S50" s="20">
        <f t="shared" ref="S50:T50" si="41">SUM(S16:S49)</f>
        <v>30954229.750000004</v>
      </c>
      <c r="T50" s="20">
        <f t="shared" si="41"/>
        <v>30026768.050000001</v>
      </c>
      <c r="U50" s="20">
        <f t="shared" ref="U50" si="42">SUM(U16:U49)</f>
        <v>32552992.790000003</v>
      </c>
      <c r="V50" s="20">
        <f t="shared" ref="V50" si="43">SUM(V16:V49)</f>
        <v>33154787.279999997</v>
      </c>
      <c r="W50" s="20">
        <f t="shared" ref="W50" si="44">SUM(W16:W49)</f>
        <v>34674803.539999999</v>
      </c>
      <c r="X50" s="20">
        <f t="shared" ref="X50:Y50" si="45">SUM(X16:X49)</f>
        <v>35769405.380000003</v>
      </c>
      <c r="Y50" s="20">
        <f t="shared" si="45"/>
        <v>32059794.120000005</v>
      </c>
      <c r="Z50" s="29">
        <f t="shared" ref="Z50" si="46">SUM(Z16:Z49)</f>
        <v>33994789.280000009</v>
      </c>
      <c r="AA50" s="29">
        <f t="shared" ref="AA50" si="47">SUM(AA16:AA49)</f>
        <v>34103670.679999992</v>
      </c>
      <c r="AB50" s="29">
        <f t="shared" ref="AB50" si="48">SUM(AB16:AB49)</f>
        <v>33236300.890000004</v>
      </c>
      <c r="AC50" s="29">
        <f t="shared" ref="AC50" si="49">SUM(AC16:AC49)</f>
        <v>33293052.710000001</v>
      </c>
    </row>
    <row r="51" spans="1:30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2"/>
      <c r="AA51" s="32"/>
      <c r="AB51" s="32"/>
      <c r="AC51" s="32"/>
    </row>
    <row r="52" spans="1:30" ht="32.25" thickBot="1" x14ac:dyDescent="0.55000000000000004">
      <c r="A52" s="33" t="s">
        <v>0</v>
      </c>
      <c r="B52" s="34"/>
      <c r="C52" s="34"/>
      <c r="D52" s="34"/>
      <c r="E52" s="35" t="s">
        <v>60</v>
      </c>
      <c r="F52" s="20">
        <f t="shared" ref="F52:O52" si="50">F7+F50</f>
        <v>36969389.969999999</v>
      </c>
      <c r="G52" s="20">
        <f t="shared" si="50"/>
        <v>36839757.479999997</v>
      </c>
      <c r="H52" s="20">
        <f t="shared" si="50"/>
        <v>31994351.75</v>
      </c>
      <c r="I52" s="20">
        <f t="shared" si="50"/>
        <v>33463603</v>
      </c>
      <c r="J52" s="20">
        <f t="shared" si="50"/>
        <v>32791060.840000004</v>
      </c>
      <c r="K52" s="20">
        <f t="shared" si="50"/>
        <v>33552164.970000003</v>
      </c>
      <c r="L52" s="20">
        <f t="shared" si="50"/>
        <v>31335572.280000001</v>
      </c>
      <c r="M52" s="20">
        <f t="shared" si="50"/>
        <v>32102128.859999996</v>
      </c>
      <c r="N52" s="20">
        <f t="shared" si="50"/>
        <v>30909251.380000003</v>
      </c>
      <c r="O52" s="20">
        <f t="shared" si="50"/>
        <v>29501032.460000005</v>
      </c>
      <c r="P52" s="20">
        <f t="shared" ref="P52:R52" si="51">P7+P50</f>
        <v>30886491.110000003</v>
      </c>
      <c r="Q52" s="29">
        <f t="shared" ref="Q52" si="52">Q7+Q50</f>
        <v>28144124.490000006</v>
      </c>
      <c r="R52" s="20">
        <f t="shared" si="51"/>
        <v>34129997.879999995</v>
      </c>
      <c r="S52" s="20">
        <f t="shared" ref="S52:T52" si="53">S7+S50</f>
        <v>50050830.370000005</v>
      </c>
      <c r="T52" s="20">
        <f t="shared" si="53"/>
        <v>47106496.469999999</v>
      </c>
      <c r="U52" s="20">
        <f t="shared" ref="U52" si="54">U7+U50</f>
        <v>49276826.25</v>
      </c>
      <c r="V52" s="20">
        <f t="shared" ref="V52" si="55">V7+V50</f>
        <v>46481078.659999996</v>
      </c>
      <c r="W52" s="20">
        <f t="shared" ref="W52" si="56">W7+W50</f>
        <v>50187220.210000001</v>
      </c>
      <c r="X52" s="20">
        <f t="shared" ref="X52:Y52" si="57">X7+X50</f>
        <v>65806282.340000004</v>
      </c>
      <c r="Y52" s="20">
        <f t="shared" si="57"/>
        <v>45881705.690000005</v>
      </c>
      <c r="Z52" s="29">
        <f t="shared" ref="Z52" si="58">Z7+Z50</f>
        <v>46767362.930000007</v>
      </c>
      <c r="AA52" s="29">
        <f t="shared" ref="AA52" si="59">AA7+AA50</f>
        <v>44978639.349999994</v>
      </c>
      <c r="AB52" s="29">
        <f t="shared" ref="AB52" si="60">AB7+AB50</f>
        <v>42034146.450000003</v>
      </c>
      <c r="AC52" s="29">
        <f t="shared" ref="AC52" si="61">AC7+AC50</f>
        <v>48243221.740000002</v>
      </c>
    </row>
    <row r="53" spans="1:30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  <c r="Z53" s="36"/>
      <c r="AA53" s="36"/>
      <c r="AB53" s="36"/>
      <c r="AC53" s="36"/>
    </row>
    <row r="54" spans="1:30" x14ac:dyDescent="0.5">
      <c r="A54" s="64" t="s">
        <v>123</v>
      </c>
      <c r="B54" s="64"/>
      <c r="C54" s="64"/>
      <c r="D54" s="64"/>
      <c r="E54" s="64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7"/>
      <c r="AA54" s="37"/>
      <c r="AB54" s="37"/>
      <c r="AC54" s="37"/>
    </row>
    <row r="55" spans="1:30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37"/>
      <c r="AA55" s="37"/>
      <c r="AB55" s="37"/>
      <c r="AC55" s="37"/>
    </row>
    <row r="56" spans="1:30" x14ac:dyDescent="0.5">
      <c r="A56" s="38" t="s">
        <v>1</v>
      </c>
      <c r="B56" s="11" t="s">
        <v>61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  <c r="Z56" s="41"/>
      <c r="AA56" s="41"/>
      <c r="AB56" s="41"/>
      <c r="AC56" s="41"/>
    </row>
    <row r="57" spans="1:30" x14ac:dyDescent="0.5">
      <c r="A57" s="14" t="s">
        <v>27</v>
      </c>
      <c r="B57" s="15" t="s">
        <v>30</v>
      </c>
      <c r="C57" s="15" t="s">
        <v>27</v>
      </c>
      <c r="D57" s="15"/>
      <c r="E57" s="16" t="s">
        <v>62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1">
        <v>0</v>
      </c>
      <c r="AA57" s="41">
        <v>0</v>
      </c>
      <c r="AB57" s="41">
        <v>0</v>
      </c>
      <c r="AC57" s="41">
        <v>0</v>
      </c>
    </row>
    <row r="58" spans="1:30" x14ac:dyDescent="0.5">
      <c r="A58" s="14" t="s">
        <v>22</v>
      </c>
      <c r="B58" s="15" t="s">
        <v>63</v>
      </c>
      <c r="C58" s="15" t="s">
        <v>24</v>
      </c>
      <c r="D58" s="15"/>
      <c r="E58" s="16" t="s">
        <v>64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41">
        <f>4397481.27</f>
        <v>4397481.2699999996</v>
      </c>
      <c r="AA58" s="41">
        <v>4930032.4400000004</v>
      </c>
      <c r="AB58" s="41">
        <f>5354162.43</f>
        <v>5354162.43</v>
      </c>
      <c r="AC58" s="41">
        <f>3287703.49</f>
        <v>3287703.49</v>
      </c>
      <c r="AD58" s="33" t="s">
        <v>122</v>
      </c>
    </row>
    <row r="59" spans="1:30" x14ac:dyDescent="0.5">
      <c r="A59" s="14">
        <v>230</v>
      </c>
      <c r="B59" s="15" t="s">
        <v>78</v>
      </c>
      <c r="C59" s="15" t="s">
        <v>71</v>
      </c>
      <c r="D59" s="15"/>
      <c r="E59" s="16" t="s">
        <v>72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101461.65</v>
      </c>
      <c r="AB59" s="41">
        <f>71885.48</f>
        <v>71885.48</v>
      </c>
      <c r="AC59" s="41">
        <v>84607.87</v>
      </c>
    </row>
    <row r="60" spans="1:30" x14ac:dyDescent="0.5">
      <c r="A60" s="14">
        <v>264</v>
      </c>
      <c r="B60" s="15" t="s">
        <v>15</v>
      </c>
      <c r="C60" s="15" t="s">
        <v>77</v>
      </c>
      <c r="D60" s="15"/>
      <c r="E60" s="16" t="s">
        <v>77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</row>
    <row r="61" spans="1:30" x14ac:dyDescent="0.5">
      <c r="A61" s="14" t="s">
        <v>33</v>
      </c>
      <c r="B61" s="15" t="s">
        <v>65</v>
      </c>
      <c r="C61" s="15" t="s">
        <v>35</v>
      </c>
      <c r="D61" s="15"/>
      <c r="E61" s="16" t="s">
        <v>66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v>309360.02</v>
      </c>
      <c r="Z61" s="41">
        <f>146381.36</f>
        <v>146381.35999999999</v>
      </c>
      <c r="AA61" s="41">
        <v>261357.5</v>
      </c>
      <c r="AB61" s="41">
        <f>188205.27</f>
        <v>188205.27</v>
      </c>
      <c r="AC61" s="41">
        <v>101192.69</v>
      </c>
    </row>
    <row r="62" spans="1:30" x14ac:dyDescent="0.5">
      <c r="A62" s="14" t="s">
        <v>19</v>
      </c>
      <c r="B62" s="15" t="s">
        <v>67</v>
      </c>
      <c r="C62" s="15" t="s">
        <v>21</v>
      </c>
      <c r="D62" s="15"/>
      <c r="E62" s="16" t="s">
        <v>68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41">
        <v>0</v>
      </c>
      <c r="AA62" s="41">
        <v>0</v>
      </c>
      <c r="AB62" s="41">
        <v>0</v>
      </c>
      <c r="AC62" s="41">
        <v>0</v>
      </c>
    </row>
    <row r="63" spans="1:30" x14ac:dyDescent="0.5">
      <c r="A63" s="42">
        <v>245460480481</v>
      </c>
      <c r="B63" s="15" t="s">
        <v>15</v>
      </c>
      <c r="C63" s="15" t="s">
        <v>75</v>
      </c>
      <c r="D63" s="15"/>
      <c r="E63" s="16" t="s">
        <v>76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</row>
    <row r="64" spans="1:30" x14ac:dyDescent="0.5">
      <c r="A64" s="14">
        <v>483</v>
      </c>
      <c r="B64" s="15" t="s">
        <v>100</v>
      </c>
      <c r="C64" s="15" t="s">
        <v>18</v>
      </c>
      <c r="D64" s="15"/>
      <c r="E64" s="16" t="s">
        <v>115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41">
        <v>167125.01999999999</v>
      </c>
      <c r="AA64" s="41">
        <v>294260.59000000003</v>
      </c>
      <c r="AB64" s="41">
        <v>272670.78000000003</v>
      </c>
      <c r="AC64" s="41">
        <v>174986.21</v>
      </c>
      <c r="AD64" s="33" t="s">
        <v>135</v>
      </c>
    </row>
    <row r="65" spans="1:29" x14ac:dyDescent="0.5">
      <c r="A65" s="14">
        <v>603</v>
      </c>
      <c r="B65" s="15"/>
      <c r="C65" s="15" t="s">
        <v>45</v>
      </c>
      <c r="D65" s="15"/>
      <c r="E65" s="16" t="s">
        <v>45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  <c r="Z65" s="41">
        <v>188657.39</v>
      </c>
      <c r="AA65" s="41">
        <v>171016.32000000001</v>
      </c>
      <c r="AB65" s="41">
        <v>184352.62</v>
      </c>
      <c r="AC65" s="41">
        <v>190973.17</v>
      </c>
    </row>
    <row r="66" spans="1:29" ht="32.25" thickBot="1" x14ac:dyDescent="0.55000000000000004">
      <c r="A66" s="14"/>
      <c r="B66" s="15"/>
      <c r="C66" s="15"/>
      <c r="D66" s="15"/>
      <c r="E66" s="10" t="s">
        <v>69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4">
        <v>0</v>
      </c>
      <c r="AA66" s="44">
        <v>0</v>
      </c>
      <c r="AB66" s="44">
        <v>0</v>
      </c>
      <c r="AC66" s="44">
        <v>0</v>
      </c>
    </row>
    <row r="67" spans="1:29" ht="33" thickTop="1" thickBot="1" x14ac:dyDescent="0.55000000000000004">
      <c r="A67" s="33" t="s">
        <v>70</v>
      </c>
      <c r="B67" s="34"/>
      <c r="C67" s="34"/>
      <c r="D67" s="34"/>
      <c r="E67" s="10" t="s">
        <v>60</v>
      </c>
      <c r="F67" s="43">
        <f t="shared" ref="F67" si="62">SUM(F57:F66)</f>
        <v>3713634.7100000004</v>
      </c>
      <c r="G67" s="43">
        <f t="shared" ref="G67:I67" si="63">SUM(G57:G66)</f>
        <v>1808258.41</v>
      </c>
      <c r="H67" s="43">
        <f t="shared" si="63"/>
        <v>2601894</v>
      </c>
      <c r="I67" s="43">
        <f t="shared" si="63"/>
        <v>3523278</v>
      </c>
      <c r="J67" s="43">
        <f t="shared" ref="J67:K67" si="64">SUM(J57:J66)</f>
        <v>3042320.76</v>
      </c>
      <c r="K67" s="43">
        <f t="shared" si="64"/>
        <v>3344987.7399999998</v>
      </c>
      <c r="L67" s="43">
        <f t="shared" ref="L67:M67" si="65">SUM(L57:L66)</f>
        <v>5202551.4000000004</v>
      </c>
      <c r="M67" s="43">
        <f t="shared" si="65"/>
        <v>2200278.2600000002</v>
      </c>
      <c r="N67" s="43">
        <f t="shared" ref="N67" si="66">SUM(N57:N66)</f>
        <v>2420787.58</v>
      </c>
      <c r="O67" s="43">
        <f t="shared" ref="O67:P67" si="67">SUM(O57:O66)</f>
        <v>3065177.1899999995</v>
      </c>
      <c r="P67" s="43">
        <f t="shared" si="67"/>
        <v>2299958.2100000004</v>
      </c>
      <c r="Q67" s="44">
        <f t="shared" ref="Q67" si="68">SUM(Q57:Q66)</f>
        <v>4952379.2000000011</v>
      </c>
      <c r="R67" s="43">
        <f t="shared" ref="R67:S67" si="69">SUM(R57:R66)</f>
        <v>3980233.46</v>
      </c>
      <c r="S67" s="43">
        <f t="shared" si="69"/>
        <v>732926.22</v>
      </c>
      <c r="T67" s="43">
        <f t="shared" ref="T67:U67" si="70">SUM(T57:T66)</f>
        <v>1581377.9800000002</v>
      </c>
      <c r="U67" s="43">
        <f t="shared" si="70"/>
        <v>1145434.1100000001</v>
      </c>
      <c r="V67" s="43">
        <f t="shared" ref="V67" si="71">SUM(V57:V66)</f>
        <v>1394319.99</v>
      </c>
      <c r="W67" s="43">
        <f t="shared" ref="W67" si="72">SUM(W57:W66)</f>
        <v>4062843.1599999997</v>
      </c>
      <c r="X67" s="43">
        <f t="shared" ref="X67:Y67" si="73">SUM(X57:X66)</f>
        <v>3840544.0599999996</v>
      </c>
      <c r="Y67" s="43">
        <f t="shared" si="73"/>
        <v>4493250.9400000004</v>
      </c>
      <c r="Z67" s="44">
        <f t="shared" ref="Z67" si="74">SUM(Z57:Z66)</f>
        <v>4899645.0399999991</v>
      </c>
      <c r="AA67" s="44">
        <f t="shared" ref="AA67" si="75">SUM(AA57:AA66)</f>
        <v>5758128.5000000009</v>
      </c>
      <c r="AB67" s="44">
        <f t="shared" ref="AB67" si="76">SUM(AB57:AB66)</f>
        <v>6071276.5800000001</v>
      </c>
      <c r="AC67" s="44">
        <f t="shared" ref="AC67" si="77">SUM(AC57:AC66)</f>
        <v>3839463.43</v>
      </c>
    </row>
    <row r="68" spans="1:29" ht="32.25" thickTop="1" x14ac:dyDescent="0.5"/>
    <row r="69" spans="1:29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  <c r="Z69" s="5"/>
      <c r="AA69" s="5"/>
      <c r="AB69" s="5"/>
      <c r="AC69" s="5"/>
    </row>
    <row r="70" spans="1:29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  <c r="Z70" s="5"/>
      <c r="AA70" s="5"/>
      <c r="AB70" s="5"/>
      <c r="AC70" s="5"/>
    </row>
    <row r="71" spans="1:29" s="2" customFormat="1" ht="60" customHeight="1" x14ac:dyDescent="0.5">
      <c r="A71" s="6" t="s">
        <v>109</v>
      </c>
      <c r="B71" s="65" t="s">
        <v>139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4"/>
      <c r="W71" s="4"/>
      <c r="X71" s="4"/>
      <c r="Y71" s="4"/>
      <c r="Z71" s="5"/>
      <c r="AA71" s="5"/>
      <c r="AB71" s="5"/>
      <c r="AC71" s="5"/>
    </row>
    <row r="72" spans="1:29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"/>
      <c r="AC72" s="5"/>
    </row>
    <row r="73" spans="1:29" s="2" customFormat="1" x14ac:dyDescent="0.5">
      <c r="A73" s="6" t="s">
        <v>122</v>
      </c>
      <c r="B73" s="50" t="s">
        <v>140</v>
      </c>
      <c r="C73" s="4"/>
      <c r="D73" s="4"/>
      <c r="E73" s="4"/>
      <c r="F73" s="6"/>
      <c r="G73" s="6"/>
      <c r="H73" s="6"/>
      <c r="I73" s="4"/>
      <c r="J73" s="4"/>
      <c r="K73" s="4"/>
      <c r="L73" s="4"/>
      <c r="M73" s="4"/>
      <c r="N73" s="4"/>
      <c r="O73" s="4"/>
      <c r="P73" s="4"/>
      <c r="Q73" s="5"/>
      <c r="R73" s="4"/>
      <c r="S73" s="4"/>
      <c r="T73" s="4"/>
      <c r="U73" s="4"/>
      <c r="V73" s="4"/>
      <c r="W73" s="4"/>
      <c r="X73" s="4"/>
      <c r="Y73" s="4"/>
      <c r="Z73" s="5"/>
      <c r="AA73" s="5"/>
      <c r="AB73" s="5"/>
      <c r="AC73" s="5"/>
    </row>
    <row r="74" spans="1:29" s="2" customFormat="1" x14ac:dyDescent="0.5">
      <c r="A74" s="6"/>
      <c r="B74" s="50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  <c r="Y74" s="4"/>
      <c r="Z74" s="5"/>
      <c r="AA74" s="5"/>
      <c r="AB74" s="5"/>
      <c r="AC74" s="5"/>
    </row>
    <row r="75" spans="1:29" s="2" customFormat="1" x14ac:dyDescent="0.5">
      <c r="A75" s="6" t="s">
        <v>135</v>
      </c>
      <c r="B75" s="50" t="s">
        <v>138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4"/>
      <c r="V75" s="4"/>
      <c r="W75" s="4"/>
      <c r="X75" s="4"/>
      <c r="Y75" s="4"/>
      <c r="Z75" s="5"/>
      <c r="AA75" s="5"/>
      <c r="AB75" s="5"/>
      <c r="AC75" s="5"/>
    </row>
    <row r="76" spans="1:29" s="2" customFormat="1" x14ac:dyDescent="0.5">
      <c r="A76" s="6"/>
      <c r="B76" s="45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</row>
    <row r="77" spans="1:29" x14ac:dyDescent="0.5">
      <c r="A77" s="46"/>
      <c r="B77" s="51"/>
      <c r="C77" s="4"/>
      <c r="D77" s="4"/>
      <c r="E77" s="47"/>
    </row>
    <row r="78" spans="1:29" x14ac:dyDescent="0.5">
      <c r="B78" s="45"/>
      <c r="C78" s="4"/>
      <c r="D78" s="4"/>
      <c r="E78" s="4"/>
    </row>
    <row r="79" spans="1:29" x14ac:dyDescent="0.5">
      <c r="B79" s="48"/>
      <c r="C79" s="4"/>
    </row>
    <row r="80" spans="1:29" x14ac:dyDescent="0.5">
      <c r="C80" s="4"/>
    </row>
  </sheetData>
  <mergeCells count="4">
    <mergeCell ref="A1:E1"/>
    <mergeCell ref="A2:E2"/>
    <mergeCell ref="A54:E54"/>
    <mergeCell ref="B71:U71"/>
  </mergeCells>
  <pageMargins left="0.2" right="0.2" top="0.25" bottom="0.5" header="0.3" footer="0.3"/>
  <pageSetup scale="3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Christine Dunbar</cp:lastModifiedBy>
  <cp:lastPrinted>2017-05-15T17:50:34Z</cp:lastPrinted>
  <dcterms:created xsi:type="dcterms:W3CDTF">2014-10-16T13:30:14Z</dcterms:created>
  <dcterms:modified xsi:type="dcterms:W3CDTF">2017-06-02T13:40:10Z</dcterms:modified>
</cp:coreProperties>
</file>